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en_skoroszyt"/>
  <mc:AlternateContent xmlns:mc="http://schemas.openxmlformats.org/markup-compatibility/2006">
    <mc:Choice Requires="x15">
      <x15ac:absPath xmlns:x15ac="http://schemas.microsoft.com/office/spreadsheetml/2010/11/ac" url="S:\Kierownik\Moje dokumenty\Rada uczelni\Uchwały Rady uczelni\"/>
    </mc:Choice>
  </mc:AlternateContent>
  <xr:revisionPtr revIDLastSave="0" documentId="8_{E53736A9-C485-4340-8FCA-CD66EE6201EF}" xr6:coauthVersionLast="36" xr6:coauthVersionMax="36" xr10:uidLastSave="{00000000-0000-0000-0000-000000000000}"/>
  <bookViews>
    <workbookView xWindow="0" yWindow="0" windowWidth="25200" windowHeight="11400" tabRatio="500" firstSheet="5" activeTab="9" xr2:uid="{00000000-000D-0000-FFFF-FFFF00000000}"/>
  </bookViews>
  <sheets>
    <sheet name="Dział V nowy (2)" sheetId="1" state="hidden" r:id="rId1"/>
    <sheet name="Arkusz2" sheetId="3" state="hidden" r:id="rId2"/>
    <sheet name="Arkusz1" sheetId="4" state="hidden" r:id="rId3"/>
    <sheet name="Dział II. (2)" sheetId="5" state="hidden" r:id="rId4"/>
    <sheet name="Dział I." sheetId="8" state="hidden" r:id="rId5"/>
    <sheet name="Dział I nowy" sheetId="9" r:id="rId6"/>
    <sheet name="Dział II." sheetId="10" state="hidden" r:id="rId7"/>
    <sheet name="Dział II nowy" sheetId="11" state="hidden" r:id="rId8"/>
    <sheet name="Dział II" sheetId="12" r:id="rId9"/>
    <sheet name="Dział III" sheetId="13" r:id="rId10"/>
    <sheet name="Dział V." sheetId="14" state="hidden" r:id="rId11"/>
    <sheet name="Dział IV" sheetId="15" r:id="rId12"/>
  </sheets>
  <externalReferences>
    <externalReference r:id="rId13"/>
  </externalReferences>
  <calcPr calcId="191029"/>
</workbook>
</file>

<file path=xl/calcChain.xml><?xml version="1.0" encoding="utf-8"?>
<calcChain xmlns="http://schemas.openxmlformats.org/spreadsheetml/2006/main">
  <c r="J68" i="13" l="1"/>
  <c r="F69" i="13" l="1"/>
  <c r="F68" i="13" s="1"/>
  <c r="K69" i="13"/>
  <c r="K68" i="13" s="1"/>
  <c r="I70" i="13"/>
  <c r="I71" i="13"/>
  <c r="I72" i="13"/>
  <c r="I73" i="13"/>
  <c r="I74" i="13"/>
  <c r="I69" i="13" l="1"/>
  <c r="I68" i="13" s="1"/>
  <c r="G7" i="12"/>
  <c r="F32" i="9" l="1"/>
  <c r="G14" i="12" l="1"/>
  <c r="G31" i="12"/>
  <c r="G22" i="12"/>
  <c r="G18" i="12"/>
  <c r="F59" i="9" l="1"/>
  <c r="E59" i="9"/>
  <c r="F54" i="9" l="1"/>
  <c r="F50" i="9"/>
  <c r="F30" i="9"/>
  <c r="F12" i="9"/>
  <c r="F28" i="9" l="1"/>
  <c r="F11" i="9"/>
  <c r="F56" i="9"/>
  <c r="F40" i="9" l="1"/>
  <c r="E32" i="9"/>
  <c r="F39" i="9" l="1"/>
  <c r="E30" i="9"/>
  <c r="F31" i="12"/>
  <c r="F22" i="12"/>
  <c r="E28" i="9" l="1"/>
  <c r="F64" i="9"/>
  <c r="F69" i="9" s="1"/>
  <c r="F72" i="9" s="1"/>
  <c r="E15" i="12" l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4" i="12" s="1"/>
  <c r="E35" i="12" s="1"/>
  <c r="E36" i="12" s="1"/>
  <c r="E37" i="12" s="1"/>
  <c r="D39" i="9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T33" i="11" l="1"/>
  <c r="T34" i="11"/>
  <c r="T35" i="11"/>
  <c r="T32" i="11"/>
  <c r="T28" i="11"/>
  <c r="T29" i="11" s="1"/>
  <c r="E14" i="11"/>
  <c r="K13" i="11" s="1"/>
  <c r="E15" i="11"/>
  <c r="E22" i="11"/>
  <c r="E21" i="11"/>
  <c r="M53" i="11"/>
  <c r="M37" i="11"/>
  <c r="M50" i="11"/>
  <c r="M45" i="11"/>
  <c r="M46" i="11"/>
  <c r="M47" i="11"/>
  <c r="M48" i="11"/>
  <c r="M44" i="11"/>
  <c r="T21" i="11"/>
  <c r="S15" i="11"/>
  <c r="S20" i="11"/>
  <c r="S21" i="11"/>
  <c r="S22" i="11"/>
  <c r="S23" i="11"/>
  <c r="T38" i="11" s="1"/>
  <c r="S24" i="11"/>
  <c r="S16" i="11"/>
  <c r="S17" i="11"/>
  <c r="S18" i="11"/>
  <c r="S19" i="11"/>
  <c r="M40" i="11"/>
  <c r="M36" i="11"/>
  <c r="M34" i="11" s="1"/>
  <c r="T10" i="11"/>
  <c r="T4" i="11"/>
  <c r="T3" i="11"/>
  <c r="N10" i="11"/>
  <c r="L13" i="11" l="1"/>
  <c r="L15" i="11"/>
  <c r="T5" i="11"/>
  <c r="T52" i="11" s="1"/>
  <c r="E11" i="13"/>
  <c r="F14" i="13"/>
  <c r="G11" i="13"/>
  <c r="I11" i="13"/>
  <c r="E13" i="11"/>
  <c r="F20" i="14" l="1"/>
  <c r="G6" i="14"/>
  <c r="F6" i="14"/>
  <c r="F34" i="13"/>
  <c r="F33" i="13"/>
  <c r="F32" i="13"/>
  <c r="F31" i="13"/>
  <c r="F30" i="13"/>
  <c r="F29" i="13"/>
  <c r="I28" i="13"/>
  <c r="I26" i="13" s="1"/>
  <c r="G28" i="13"/>
  <c r="E28" i="13"/>
  <c r="E26" i="13" s="1"/>
  <c r="H26" i="13"/>
  <c r="G19" i="13"/>
  <c r="F16" i="13"/>
  <c r="F15" i="13"/>
  <c r="F13" i="13"/>
  <c r="F12" i="13"/>
  <c r="I9" i="13"/>
  <c r="F11" i="13"/>
  <c r="E9" i="13"/>
  <c r="H9" i="13"/>
  <c r="D45" i="12"/>
  <c r="F18" i="12"/>
  <c r="F7" i="12"/>
  <c r="G27" i="11"/>
  <c r="G25" i="11"/>
  <c r="I24" i="11"/>
  <c r="G24" i="11"/>
  <c r="I23" i="11"/>
  <c r="G23" i="11"/>
  <c r="I22" i="11"/>
  <c r="G22" i="11"/>
  <c r="I21" i="11"/>
  <c r="G21" i="11"/>
  <c r="I20" i="11"/>
  <c r="G20" i="11"/>
  <c r="H19" i="11"/>
  <c r="I19" i="11" s="1"/>
  <c r="F19" i="11"/>
  <c r="E19" i="11"/>
  <c r="D19" i="11"/>
  <c r="D20" i="11" s="1"/>
  <c r="D21" i="11" s="1"/>
  <c r="D22" i="11" s="1"/>
  <c r="D23" i="11" s="1"/>
  <c r="D24" i="11" s="1"/>
  <c r="D25" i="11" s="1"/>
  <c r="D26" i="11" s="1"/>
  <c r="D27" i="11" s="1"/>
  <c r="I18" i="11"/>
  <c r="G18" i="11"/>
  <c r="I17" i="11"/>
  <c r="G17" i="11"/>
  <c r="I16" i="11"/>
  <c r="G16" i="11"/>
  <c r="I15" i="11"/>
  <c r="G15" i="11"/>
  <c r="I14" i="11"/>
  <c r="G14" i="11"/>
  <c r="H13" i="11"/>
  <c r="F13" i="11"/>
  <c r="F12" i="11"/>
  <c r="G11" i="11"/>
  <c r="G10" i="11"/>
  <c r="G9" i="11"/>
  <c r="H8" i="11"/>
  <c r="F8" i="11"/>
  <c r="E8" i="11"/>
  <c r="C58" i="10"/>
  <c r="E56" i="10" s="1"/>
  <c r="E57" i="10"/>
  <c r="E54" i="10"/>
  <c r="E53" i="10"/>
  <c r="E52" i="10"/>
  <c r="E51" i="10"/>
  <c r="E24" i="10"/>
  <c r="F21" i="10"/>
  <c r="E21" i="10"/>
  <c r="F15" i="10"/>
  <c r="E15" i="10"/>
  <c r="E14" i="10" s="1"/>
  <c r="E34" i="10" s="1"/>
  <c r="E10" i="10"/>
  <c r="F8" i="10"/>
  <c r="E8" i="10"/>
  <c r="E54" i="9"/>
  <c r="E56" i="9" s="1"/>
  <c r="E40" i="9" s="1"/>
  <c r="E39" i="9" s="1"/>
  <c r="E12" i="9"/>
  <c r="H126" i="8"/>
  <c r="H122" i="8"/>
  <c r="H117" i="8"/>
  <c r="H113" i="8"/>
  <c r="K107" i="8" s="1"/>
  <c r="H111" i="8"/>
  <c r="I117" i="8" s="1"/>
  <c r="K109" i="8"/>
  <c r="H102" i="8"/>
  <c r="F100" i="8"/>
  <c r="E96" i="8"/>
  <c r="H86" i="8"/>
  <c r="G86" i="8"/>
  <c r="F86" i="8"/>
  <c r="E86" i="8"/>
  <c r="G76" i="8"/>
  <c r="F76" i="8"/>
  <c r="F74" i="8" s="1"/>
  <c r="E76" i="8"/>
  <c r="E74" i="8" s="1"/>
  <c r="H74" i="8"/>
  <c r="G74" i="8"/>
  <c r="H71" i="8"/>
  <c r="G71" i="8"/>
  <c r="F71" i="8"/>
  <c r="E71" i="8"/>
  <c r="H69" i="8"/>
  <c r="F69" i="8"/>
  <c r="G65" i="8"/>
  <c r="F65" i="8"/>
  <c r="F62" i="8"/>
  <c r="F64" i="8" s="1"/>
  <c r="F46" i="8" s="1"/>
  <c r="F45" i="8" s="1"/>
  <c r="H54" i="8"/>
  <c r="G54" i="8"/>
  <c r="E54" i="8"/>
  <c r="E53" i="8"/>
  <c r="E52" i="8" s="1"/>
  <c r="E62" i="8" s="1"/>
  <c r="E64" i="8" s="1"/>
  <c r="E46" i="8" s="1"/>
  <c r="H52" i="8"/>
  <c r="G52" i="8"/>
  <c r="H38" i="8"/>
  <c r="G38" i="8"/>
  <c r="G36" i="8" s="1"/>
  <c r="G34" i="8" s="1"/>
  <c r="E38" i="8"/>
  <c r="J37" i="8"/>
  <c r="H36" i="8"/>
  <c r="H34" i="8" s="1"/>
  <c r="F36" i="8"/>
  <c r="E36" i="8"/>
  <c r="E34" i="8" s="1"/>
  <c r="F34" i="8"/>
  <c r="H22" i="8"/>
  <c r="H70" i="8" s="1"/>
  <c r="G22" i="8"/>
  <c r="F22" i="8"/>
  <c r="F70" i="8" s="1"/>
  <c r="E22" i="8"/>
  <c r="E70" i="8" s="1"/>
  <c r="E72" i="8" s="1"/>
  <c r="G19" i="8"/>
  <c r="G69" i="8" s="1"/>
  <c r="H18" i="8"/>
  <c r="G18" i="8"/>
  <c r="H16" i="8"/>
  <c r="H15" i="8"/>
  <c r="H65" i="8" s="1"/>
  <c r="G14" i="8"/>
  <c r="F14" i="8"/>
  <c r="F13" i="8" s="1"/>
  <c r="F12" i="8" s="1"/>
  <c r="E14" i="8"/>
  <c r="E13" i="8" s="1"/>
  <c r="E12" i="8" s="1"/>
  <c r="E52" i="5"/>
  <c r="E47" i="5"/>
  <c r="E46" i="5"/>
  <c r="E57" i="5" s="1"/>
  <c r="F27" i="5"/>
  <c r="I26" i="5"/>
  <c r="J26" i="5" s="1"/>
  <c r="J25" i="5"/>
  <c r="K24" i="5"/>
  <c r="L24" i="5" s="1"/>
  <c r="I24" i="5"/>
  <c r="I23" i="5"/>
  <c r="J23" i="5" s="1"/>
  <c r="I22" i="5"/>
  <c r="L22" i="5" s="1"/>
  <c r="K21" i="5"/>
  <c r="H21" i="5"/>
  <c r="G21" i="5"/>
  <c r="F21" i="5"/>
  <c r="E21" i="5"/>
  <c r="L20" i="5"/>
  <c r="J20" i="5"/>
  <c r="I20" i="5"/>
  <c r="J19" i="5"/>
  <c r="K18" i="5"/>
  <c r="H18" i="5"/>
  <c r="H15" i="5" s="1"/>
  <c r="H14" i="5" s="1"/>
  <c r="G18" i="5"/>
  <c r="G15" i="5" s="1"/>
  <c r="G14" i="5" s="1"/>
  <c r="I17" i="5"/>
  <c r="L17" i="5" s="1"/>
  <c r="K16" i="5"/>
  <c r="K15" i="5" s="1"/>
  <c r="K14" i="5" s="1"/>
  <c r="I16" i="5"/>
  <c r="F15" i="5"/>
  <c r="F14" i="5" s="1"/>
  <c r="E15" i="5"/>
  <c r="E14" i="5" s="1"/>
  <c r="M10" i="5"/>
  <c r="L8" i="5"/>
  <c r="K8" i="5"/>
  <c r="J8" i="5"/>
  <c r="I8" i="5"/>
  <c r="H8" i="5"/>
  <c r="G8" i="5"/>
  <c r="F8" i="5"/>
  <c r="E8" i="5"/>
  <c r="I28" i="1"/>
  <c r="J28" i="1" s="1"/>
  <c r="I27" i="1"/>
  <c r="I15" i="1"/>
  <c r="G15" i="1"/>
  <c r="I14" i="1"/>
  <c r="I13" i="1"/>
  <c r="G9" i="1"/>
  <c r="H6" i="1"/>
  <c r="G6" i="1"/>
  <c r="E45" i="8" l="1"/>
  <c r="E80" i="8" s="1"/>
  <c r="E85" i="8" s="1"/>
  <c r="E89" i="8" s="1"/>
  <c r="E92" i="8" s="1"/>
  <c r="G34" i="5"/>
  <c r="I18" i="5"/>
  <c r="J18" i="5" s="1"/>
  <c r="J22" i="5"/>
  <c r="G62" i="8"/>
  <c r="G64" i="8" s="1"/>
  <c r="G46" i="8" s="1"/>
  <c r="G45" i="8" s="1"/>
  <c r="E55" i="10"/>
  <c r="F80" i="8"/>
  <c r="F85" i="8" s="1"/>
  <c r="F89" i="8" s="1"/>
  <c r="F92" i="8" s="1"/>
  <c r="H62" i="8"/>
  <c r="H64" i="8" s="1"/>
  <c r="H66" i="8" s="1"/>
  <c r="H67" i="8" s="1"/>
  <c r="E50" i="10"/>
  <c r="I16" i="1"/>
  <c r="E34" i="5"/>
  <c r="L23" i="5"/>
  <c r="L21" i="5" s="1"/>
  <c r="M21" i="5" s="1"/>
  <c r="L26" i="5"/>
  <c r="H72" i="8"/>
  <c r="F72" i="8"/>
  <c r="F14" i="10"/>
  <c r="F39" i="13"/>
  <c r="F14" i="12"/>
  <c r="E12" i="11"/>
  <c r="E26" i="11" s="1"/>
  <c r="M21" i="11"/>
  <c r="F28" i="13"/>
  <c r="G9" i="13"/>
  <c r="F9" i="13" s="1"/>
  <c r="F37" i="13"/>
  <c r="G19" i="11"/>
  <c r="G13" i="11"/>
  <c r="H12" i="11"/>
  <c r="H26" i="11" s="1"/>
  <c r="E11" i="9"/>
  <c r="I15" i="5"/>
  <c r="I14" i="5" s="1"/>
  <c r="I34" i="5" s="1"/>
  <c r="J16" i="5"/>
  <c r="J15" i="5" s="1"/>
  <c r="L18" i="5"/>
  <c r="K34" i="5"/>
  <c r="J17" i="5"/>
  <c r="G8" i="11"/>
  <c r="F34" i="5"/>
  <c r="L16" i="5"/>
  <c r="L15" i="5" s="1"/>
  <c r="J24" i="5"/>
  <c r="J21" i="5" s="1"/>
  <c r="I21" i="5"/>
  <c r="F34" i="10"/>
  <c r="F26" i="11"/>
  <c r="H14" i="8"/>
  <c r="H13" i="8" s="1"/>
  <c r="H12" i="8" s="1"/>
  <c r="G70" i="8"/>
  <c r="G72" i="8" s="1"/>
  <c r="G66" i="8" s="1"/>
  <c r="G67" i="8" s="1"/>
  <c r="G13" i="8"/>
  <c r="G12" i="8" s="1"/>
  <c r="G80" i="8" s="1"/>
  <c r="G85" i="8" s="1"/>
  <c r="G89" i="8" s="1"/>
  <c r="G92" i="8" s="1"/>
  <c r="F66" i="8"/>
  <c r="F67" i="8" s="1"/>
  <c r="F19" i="13"/>
  <c r="G26" i="13"/>
  <c r="F26" i="13" s="1"/>
  <c r="H46" i="8" l="1"/>
  <c r="H45" i="8" s="1"/>
  <c r="H80" i="8"/>
  <c r="H85" i="8" s="1"/>
  <c r="H89" i="8" s="1"/>
  <c r="H92" i="8" s="1"/>
  <c r="F40" i="13"/>
  <c r="E64" i="9"/>
  <c r="E69" i="9" s="1"/>
  <c r="E72" i="9" s="1"/>
  <c r="G12" i="11"/>
  <c r="G26" i="11" s="1"/>
  <c r="J14" i="5"/>
  <c r="M15" i="5"/>
  <c r="M18" i="5" s="1"/>
  <c r="L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8" authorId="0" shapeId="0" xr:uid="{00000000-0006-0000-0000-000001000000}">
      <text>
        <r>
          <rPr>
            <b/>
            <sz val="8"/>
            <color rgb="FF000000"/>
            <rFont val="Tahoma"/>
            <family val="2"/>
            <charset val="238"/>
          </rPr>
          <t xml:space="preserve">Żarnowska Hanna:
</t>
        </r>
        <r>
          <rPr>
            <sz val="8"/>
            <color rgb="FF000000"/>
            <rFont val="Tahoma"/>
            <family val="2"/>
            <charset val="238"/>
          </rPr>
          <t>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0" authorId="0" shapeId="0" xr:uid="{00000000-0006-0000-0700-000001000000}">
      <text>
        <r>
          <rPr>
            <b/>
            <sz val="8"/>
            <color rgb="FF000000"/>
            <rFont val="Tahoma"/>
            <family val="2"/>
            <charset val="238"/>
          </rPr>
          <t xml:space="preserve">Piotr Jagielski:
</t>
        </r>
        <r>
          <rPr>
            <sz val="8"/>
            <color rgb="FF000000"/>
            <rFont val="Tahoma"/>
            <family val="2"/>
            <charset val="238"/>
          </rPr>
          <t xml:space="preserve">Wartość nie może być większa niż 6% dotacji wskazanej w wierszu 04
</t>
        </r>
      </text>
    </comment>
    <comment ref="H10" authorId="0" shapeId="0" xr:uid="{00000000-0006-0000-0700-000002000000}">
      <text>
        <r>
          <rPr>
            <b/>
            <sz val="8"/>
            <color rgb="FF000000"/>
            <rFont val="Tahoma"/>
            <family val="2"/>
            <charset val="238"/>
          </rPr>
          <t xml:space="preserve">Piotr Jagielski:
</t>
        </r>
        <r>
          <rPr>
            <sz val="8"/>
            <color rgb="FF000000"/>
            <rFont val="Tahoma"/>
            <family val="2"/>
            <charset val="238"/>
          </rPr>
          <t xml:space="preserve">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</authors>
  <commentList>
    <comment ref="A34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</authors>
  <commentList>
    <comment ref="J52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57" authorId="0" shapeId="0" xr:uid="{00000000-0006-0000-09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J69" authorId="0" shapeId="0" xr:uid="{00000000-0006-0000-0900-000003000000}">
      <text>
        <r>
          <rPr>
            <b/>
            <sz val="8"/>
            <color indexed="55"/>
            <rFont val="Tahoma"/>
            <family val="2"/>
            <charset val="238"/>
          </rPr>
          <t>Piotr Jagielski:</t>
        </r>
        <r>
          <rPr>
            <sz val="8"/>
            <color indexed="55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74" authorId="0" shapeId="0" xr:uid="{00000000-0006-0000-0900-000004000000}">
      <text>
        <r>
          <rPr>
            <b/>
            <sz val="8"/>
            <color indexed="55"/>
            <rFont val="Tahoma"/>
            <family val="2"/>
            <charset val="238"/>
          </rPr>
          <t>Piotr Jagielski:</t>
        </r>
        <r>
          <rPr>
            <sz val="8"/>
            <color indexed="55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sharedStrings.xml><?xml version="1.0" encoding="utf-8"?>
<sst xmlns="http://schemas.openxmlformats.org/spreadsheetml/2006/main" count="973" uniqueCount="469">
  <si>
    <t>Dział V. Informacje rzeczowe i uzupełniające</t>
  </si>
  <si>
    <t>Wyszczególnienie</t>
  </si>
  <si>
    <t>Jednostka miary</t>
  </si>
  <si>
    <t>Plan na 2019 rok</t>
  </si>
  <si>
    <t>Plan po zmianach</t>
  </si>
  <si>
    <t>Liczba studentów ogółem (02+03)</t>
  </si>
  <si>
    <t>01</t>
  </si>
  <si>
    <t>osoby</t>
  </si>
  <si>
    <t>z tego</t>
  </si>
  <si>
    <t>studiów stacjonarnych</t>
  </si>
  <si>
    <t>02</t>
  </si>
  <si>
    <t>studiów niestacjonarnych</t>
  </si>
  <si>
    <t>03</t>
  </si>
  <si>
    <t>Liczba uczestników studiów doktoranckich ogółem</t>
  </si>
  <si>
    <t>04</t>
  </si>
  <si>
    <t>w tym</t>
  </si>
  <si>
    <t xml:space="preserve">liczba uczestników stacjonarnych studiów doktoranckich </t>
  </si>
  <si>
    <t>05</t>
  </si>
  <si>
    <r>
      <rPr>
        <sz val="12"/>
        <rFont val="Times New Roman"/>
        <family val="1"/>
        <charset val="238"/>
      </rP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</si>
  <si>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06</t>
  </si>
  <si>
    <t>liczba doktorantów w szkołach doktorskich</t>
  </si>
  <si>
    <t>07</t>
  </si>
  <si>
    <t>stypendia doktoranckie starych doktorantów (1-9.2019)</t>
  </si>
  <si>
    <r>
      <rPr>
        <sz val="12"/>
        <rFont val="Times New Roman"/>
        <family val="1"/>
        <charset val="238"/>
      </rP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</si>
  <si>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>08</t>
  </si>
  <si>
    <t>stypendia doktoranckie starych doktorantów (10-12.2019)</t>
  </si>
  <si>
    <r>
      <rPr>
        <sz val="12"/>
        <rFont val="Times New Roman"/>
        <family val="1"/>
        <charset val="238"/>
      </rP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</si>
  <si>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09</t>
  </si>
  <si>
    <t>stypendia projakościowe</t>
  </si>
  <si>
    <t>Kwota stypendiów dla studentów i doktorantów, niewymienionych w Dziale I wiersz 37 i w Dziale II</t>
  </si>
  <si>
    <t>tys. zł</t>
  </si>
  <si>
    <t>Stypendia NAWA dawne RP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</si>
  <si>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</si>
  <si>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</si>
  <si>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</si>
  <si>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</si>
  <si>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</si>
  <si>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</si>
  <si>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</si>
  <si>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</si>
  <si>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</si>
  <si>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</si>
  <si>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o innych niż wymienione w wierszach 15-19,  a także otrzymanych nieodpłatnie</t>
  </si>
  <si>
    <t>Stypendia w szkole doktorskiej</t>
  </si>
  <si>
    <t>składki z tytułu ubezpieczeń społecznych wypłacane od stypendiów doktoranckich w szkołach doktorskich</t>
  </si>
  <si>
    <t>tys. zł.</t>
  </si>
  <si>
    <t>styp 3 mce</t>
  </si>
  <si>
    <t>ZUS</t>
  </si>
  <si>
    <t>…………………</t>
  </si>
  <si>
    <t>…………………………………..</t>
  </si>
  <si>
    <t>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</si>
  <si>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</si>
  <si>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</si>
  <si>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</si>
  <si>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</si>
  <si>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Niepełnosprawni</t>
  </si>
  <si>
    <t>DS.</t>
  </si>
  <si>
    <t>plany administracja centralna</t>
  </si>
  <si>
    <t>"81"</t>
  </si>
  <si>
    <t>Kampus</t>
  </si>
  <si>
    <t>remonty</t>
  </si>
  <si>
    <t>inne pozycje działu inwestycji</t>
  </si>
  <si>
    <t>materiały (bez eksploatacji</t>
  </si>
  <si>
    <t xml:space="preserve">usługi </t>
  </si>
  <si>
    <t>podatki</t>
  </si>
  <si>
    <t>wynagrodzenia cywilno-prawne</t>
  </si>
  <si>
    <t>zus itp.</t>
  </si>
  <si>
    <t>pozostałe</t>
  </si>
  <si>
    <t>RAZEM</t>
  </si>
  <si>
    <t>kampus - sprzątanie, ochrona, naprawy, ubezpieczenia</t>
  </si>
  <si>
    <t>eksploatacja</t>
  </si>
  <si>
    <t>ZA 10. 2018</t>
  </si>
  <si>
    <t>przewidywane do końca roku</t>
  </si>
  <si>
    <t>wydziały ujęły</t>
  </si>
  <si>
    <t>do kończ roku</t>
  </si>
  <si>
    <t>do planu</t>
  </si>
  <si>
    <t>energia</t>
  </si>
  <si>
    <t>woda</t>
  </si>
  <si>
    <t>Mpec</t>
  </si>
  <si>
    <t>gaz</t>
  </si>
  <si>
    <t>Śmieci</t>
  </si>
  <si>
    <t>Uniwersytet w Białymstoku</t>
  </si>
  <si>
    <r>
      <rPr>
        <b/>
        <sz val="10"/>
        <rFont val="Arial CE"/>
        <charset val="238"/>
      </rPr>
      <t>Dział II. Fundusz pomocy materialnej dla studentów i doktorantów</t>
    </r>
    <r>
      <rPr>
        <sz val="10"/>
        <rFont val="Arial CE"/>
        <charset val="238"/>
      </rPr>
      <t xml:space="preserve"> -  w tysiącach złotych z jednym znakiem po przecinku</t>
    </r>
  </si>
  <si>
    <t>Plan z               18.12.2013 r.</t>
  </si>
  <si>
    <t>Plan                    po zmianach</t>
  </si>
  <si>
    <t>Wykonanie na 31.05.2014</t>
  </si>
  <si>
    <t>Stypendia wypłacone w maju 2014</t>
  </si>
  <si>
    <t>Przewidywane wykonanie na 30.06.2014 (poz. 3+4)</t>
  </si>
  <si>
    <t>pozostałość na  X-XII 2014 bez korekt w planie (poz.2-5)</t>
  </si>
  <si>
    <t>Propozycja nowego planu</t>
  </si>
  <si>
    <t>Planowana pozostałość na X-XII 2014  (poz. 7-5)</t>
  </si>
  <si>
    <t>Stan Funduszu na początek roku</t>
  </si>
  <si>
    <t>z dotacji budżetu państwa</t>
  </si>
  <si>
    <t>Zwiększenia ogółem ( 04+06+07+08)</t>
  </si>
  <si>
    <t>Z tego</t>
  </si>
  <si>
    <t>dotacja budżetu państwa</t>
  </si>
  <si>
    <t>w tym przeznaczona na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</si>
  <si>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</si>
  <si>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</si>
  <si>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</si>
  <si>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</si>
  <si>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</si>
  <si>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</si>
  <si>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>10</t>
  </si>
  <si>
    <t>stypendia socjalne</t>
  </si>
  <si>
    <t>11</t>
  </si>
  <si>
    <t>stypendia specjalne dla osób niepełnosprawnych</t>
  </si>
  <si>
    <t>12</t>
  </si>
  <si>
    <t>stypendia rektora dla najlepszych studentów</t>
  </si>
  <si>
    <t>13</t>
  </si>
  <si>
    <t>stypendia ministra za wybitne osiągnięcia</t>
  </si>
  <si>
    <t>14</t>
  </si>
  <si>
    <t>zapomogi</t>
  </si>
  <si>
    <t>15</t>
  </si>
  <si>
    <t>dla doktorantów (17+18+19+20+21)</t>
  </si>
  <si>
    <t>16</t>
  </si>
  <si>
    <t>17</t>
  </si>
  <si>
    <t>18</t>
  </si>
  <si>
    <t>stypendia dla najlepszych doktorantów</t>
  </si>
  <si>
    <t>19</t>
  </si>
  <si>
    <t>20</t>
  </si>
  <si>
    <t>21</t>
  </si>
  <si>
    <t>koszty utrzymania domów i stołówek studenckich</t>
  </si>
  <si>
    <t>22</t>
  </si>
  <si>
    <t>wynagrodzenia</t>
  </si>
  <si>
    <t>23</t>
  </si>
  <si>
    <t>w tym wynikające ze stosunku pracy</t>
  </si>
  <si>
    <t>24</t>
  </si>
  <si>
    <t>składki na ubezpieczenia społeczne i fundusz pracy</t>
  </si>
  <si>
    <t>25</t>
  </si>
  <si>
    <t>remonty i modernizacja</t>
  </si>
  <si>
    <t>26</t>
  </si>
  <si>
    <t>w tym remonty finansowane z dotacji</t>
  </si>
  <si>
    <t>27</t>
  </si>
  <si>
    <t>koszty realizacji zadań związanych z przyznawaniem i wypłacaniem stypendiów i zapomóg dla studentów i doktorantów</t>
  </si>
  <si>
    <t>28</t>
  </si>
  <si>
    <t>Stan funduszu na koniec okresu sprawozdawczego (01+03-09)</t>
  </si>
  <si>
    <t>29</t>
  </si>
  <si>
    <t>Dotacja na rok 2014</t>
  </si>
  <si>
    <t>pozostałość z dotacji 2013</t>
  </si>
  <si>
    <t>planowane remonty z dotacji</t>
  </si>
  <si>
    <t>planowane zadania zw. z wypł. stypendiów</t>
  </si>
  <si>
    <t>Dotacja do wydania na stypendia w roku 2014</t>
  </si>
  <si>
    <t>Stypendia dla studentów przewidywane wykonanie na 30.06.2014 (wykonanie na 31.05.2014 plus obroty maja jeszcze raz plus 2*16,5 tys. za stypendium Wilna)</t>
  </si>
  <si>
    <t>Stypendia dla doktorantów przewidywane wykonanie na 30.06.2014 (wykonanie na 31.05.2014 plus obroty maja jeszcze raz)</t>
  </si>
  <si>
    <t>zostało do wydania w okresie X-XII 2014 na stypendia</t>
  </si>
  <si>
    <t>Kwota do wykorzystania na stypendia w okresie X-XII 2014 wynosi 3620,1 tys. zł.</t>
  </si>
  <si>
    <t>nazwa uczelni</t>
  </si>
  <si>
    <t xml:space="preserve"> </t>
  </si>
  <si>
    <t>WYSZCZEGÓLNIENIE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</si>
  <si>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</si>
  <si>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</si>
  <si>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</si>
  <si>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</si>
  <si>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</si>
  <si>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</si>
  <si>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</si>
  <si>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Środki na realizację przedsięwzięć współfinansowanych ze środków pochodzących ze źródeł zagranicznych</t>
  </si>
  <si>
    <t>w tym środki pochodzące ze źródeł zagranicznych, niepodlegające zwrotowi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</si>
  <si>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</si>
  <si>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</si>
  <si>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</si>
  <si>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w tym opłaty za korzystanie z domów i stołówek studenckich</t>
  </si>
  <si>
    <t>Przychody ogółem z działalności gospodarczej wyodrębnionej</t>
  </si>
  <si>
    <t>Koszt wytworzenia świadczeń na własne potrzeby jednostki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</si>
  <si>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</si>
  <si>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</si>
  <si>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</si>
  <si>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</si>
  <si>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</si>
  <si>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</si>
  <si>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składki z tytułu ubezpieczeń społecznych i funduszu pracy</t>
  </si>
  <si>
    <t xml:space="preserve">w tym 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</si>
  <si>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</si>
  <si>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</si>
  <si>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</si>
  <si>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</si>
  <si>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</si>
  <si>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G.  Podatek dochodowy</t>
  </si>
  <si>
    <t>H.  Pozostałe obowiązkowe zmniejszenia zysku (zwiększenia straty)</t>
  </si>
  <si>
    <t>…………………………………………..</t>
  </si>
  <si>
    <t>(pieczątka uczelni)</t>
  </si>
  <si>
    <t>UNIWERSYTET W BIAŁYMSTOKU</t>
  </si>
  <si>
    <t xml:space="preserve">Plan rzeczowo-finansowy na 2019 r. </t>
  </si>
  <si>
    <t>Dział I. Rachunek zysków i strat - w tysiącach złotych z jednym znakiem po przecinku</t>
  </si>
  <si>
    <t>Plan na 2018 rok wprost ze zbiorówki</t>
  </si>
  <si>
    <t>plan wg wydziałów</t>
  </si>
  <si>
    <t>Plan na 2019</t>
  </si>
  <si>
    <t>A. Przychody z działalności operacyjnej (02+23)</t>
  </si>
  <si>
    <t>Przychody z podstawowej dzialalności operacyjnej (03+11+21+22)</t>
  </si>
  <si>
    <t>Przychody ogółem z dzialalności dydaktycznej (04+06+07+09)</t>
  </si>
  <si>
    <t>dotacje z budżetu państwa</t>
  </si>
  <si>
    <t>dotacja podstawowa</t>
  </si>
  <si>
    <t>środki z budżetów jednostwek samorządu terytorialnego lub ich związków</t>
  </si>
  <si>
    <t>opłaty za świadczone usługi edukacyjne</t>
  </si>
  <si>
    <t>na studiach niestacjonarnych</t>
  </si>
  <si>
    <t>środki zagraniczne oraz współfinansowanie krajowe</t>
  </si>
  <si>
    <t>Przychody ogółem z dzialalności badawczej (12+13+14+15+17+18+19)</t>
  </si>
  <si>
    <t>dotacje na finansowanie dzialalności statutowej</t>
  </si>
  <si>
    <t xml:space="preserve">środki na realizację projektów finansowanych przez Narodowe Centrum Badań i Rozwoju </t>
  </si>
  <si>
    <t>środki na realizację projektów finansowanych przez Narodowe centrum Nauki</t>
  </si>
  <si>
    <t>środki na finansowanie współpracy naukowej z zagranicą</t>
  </si>
  <si>
    <t>zagraniczne środki finansowe niepodlegające zwrotowi</t>
  </si>
  <si>
    <t>sprzedaż pozostałych prac i usług badawczych i rozwojowych</t>
  </si>
  <si>
    <t>środki na realizację programów lub przedsięwzięć określonych przez ministra właściwego do spraw nauki</t>
  </si>
  <si>
    <t>Pozostałe przychody (24+25)</t>
  </si>
  <si>
    <t>Przychody ze sprzedaży towarów i materialów</t>
  </si>
  <si>
    <t>Pozostałe przychody operacyjne (26 + 27)</t>
  </si>
  <si>
    <t>zysk ze zbycia niefinansowych aktywów trwałych</t>
  </si>
  <si>
    <t>inne przychody operacyjne</t>
  </si>
  <si>
    <t>równowartość rocznych odpisów amortyzacyjnych środków trwałych oraz wartości niematerialnych i prawnych sfinansowanych z dotacji celowych, a także otrzymanych nieodpłatnie z innych źródeł</t>
  </si>
  <si>
    <t>przychody z likwidacji środków trwałych w budowie, wartości niematerialnych i prawnych oraz korekty odpisów aktualizujących wartość niefinansowych aktywów trwałych</t>
  </si>
  <si>
    <t>cd.działu I. Rachunek zysków i strat - w tysiącach złotych z jednym znakiem po przecinku</t>
  </si>
  <si>
    <t>B. koszty  działalności operacyjnej (31+59)</t>
  </si>
  <si>
    <t>30</t>
  </si>
  <si>
    <t>Koszty podstawowej dzialalności operacyjnej (49)</t>
  </si>
  <si>
    <t>31</t>
  </si>
  <si>
    <t>32</t>
  </si>
  <si>
    <t>33</t>
  </si>
  <si>
    <t>w tym energia</t>
  </si>
  <si>
    <t>34</t>
  </si>
  <si>
    <t xml:space="preserve">  </t>
  </si>
  <si>
    <t>35</t>
  </si>
  <si>
    <t>36</t>
  </si>
  <si>
    <t>37</t>
  </si>
  <si>
    <t>wynikające ze stosunku pracy</t>
  </si>
  <si>
    <t>38</t>
  </si>
  <si>
    <t>Ubezpieczenia społeczne i inne świadczenia na rzecz pracowników</t>
  </si>
  <si>
    <t>39</t>
  </si>
  <si>
    <t>40</t>
  </si>
  <si>
    <t>41</t>
  </si>
  <si>
    <t>stypendia naukowe dla wybitnych naukowców, stypendia doktorskie i doktoranckie</t>
  </si>
  <si>
    <t>42</t>
  </si>
  <si>
    <t>odpis na własny fundusz stypendialny</t>
  </si>
  <si>
    <t>43</t>
  </si>
  <si>
    <t>44</t>
  </si>
  <si>
    <t>aparatura naukowo-badawcza</t>
  </si>
  <si>
    <t>45</t>
  </si>
  <si>
    <t>podróże służbowe</t>
  </si>
  <si>
    <t>46</t>
  </si>
  <si>
    <t>Ogółem koszty rodzajowe (32+33+35+36+37+39+44)</t>
  </si>
  <si>
    <t>47</t>
  </si>
  <si>
    <t>Zmiana stanu produktów (+,-)</t>
  </si>
  <si>
    <t>48</t>
  </si>
  <si>
    <t>Ogółem koszty własne podstawowej dzialalności operacyjnej (47+48) = (52+57+58)</t>
  </si>
  <si>
    <t>49</t>
  </si>
  <si>
    <t>Koszty działalności dydaktycznej finansowane z budżetu państwa</t>
  </si>
  <si>
    <t>50</t>
  </si>
  <si>
    <t>Koszty działalności dydaktycznej finansowane z przychodów własnych</t>
  </si>
  <si>
    <t>51</t>
  </si>
  <si>
    <t>Koszty działalności dydaktycznej ogółem (50+51)</t>
  </si>
  <si>
    <t>52</t>
  </si>
  <si>
    <t>koszty kształcenia na studiach stacjonarnych</t>
  </si>
  <si>
    <t>53</t>
  </si>
  <si>
    <t>koszty kształcenia na studiach niestacjonarnych</t>
  </si>
  <si>
    <t>54</t>
  </si>
  <si>
    <t>Koszty działalności badawczej finansowane z dotacji budżetu państwa</t>
  </si>
  <si>
    <t>55</t>
  </si>
  <si>
    <t>Koszty działalności badawczej finansowanej z przychodów własnych</t>
  </si>
  <si>
    <t>56</t>
  </si>
  <si>
    <t>koszty działalności badawczej ogółem (55+56)</t>
  </si>
  <si>
    <t>57</t>
  </si>
  <si>
    <t>dzialalnosci gospodarczej wyodrębnionej</t>
  </si>
  <si>
    <t>58</t>
  </si>
  <si>
    <t xml:space="preserve">     Pozostałe koszty (60+61)</t>
  </si>
  <si>
    <t>59</t>
  </si>
  <si>
    <t>wartość sprzedanych towarów i materiałów</t>
  </si>
  <si>
    <t>60</t>
  </si>
  <si>
    <t>pozostałe koszty operacyjne (62+63)</t>
  </si>
  <si>
    <t>61</t>
  </si>
  <si>
    <t>strata ze zbycia niefinansowych aktywów trwałych</t>
  </si>
  <si>
    <t>62</t>
  </si>
  <si>
    <t>inne pozostałe koszty operacyjne</t>
  </si>
  <si>
    <t>63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</si>
  <si>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</si>
  <si>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64</t>
  </si>
  <si>
    <t>C. Zysk strata z działalnosci operacyjnej (01-30)</t>
  </si>
  <si>
    <t>65</t>
  </si>
  <si>
    <t>D. Przychody finansowe</t>
  </si>
  <si>
    <t>66</t>
  </si>
  <si>
    <t>w tym odsetki uzyskane</t>
  </si>
  <si>
    <t>67</t>
  </si>
  <si>
    <t>E. Koszty finansowe</t>
  </si>
  <si>
    <t>68</t>
  </si>
  <si>
    <t>w tym odsetki zapłacone</t>
  </si>
  <si>
    <t>69</t>
  </si>
  <si>
    <t>F. Zysk (strata) z działalności (65+66-68)</t>
  </si>
  <si>
    <t>70</t>
  </si>
  <si>
    <t>G. Wynik zdarzeń nadzwyczajnych (72-73)</t>
  </si>
  <si>
    <t>71</t>
  </si>
  <si>
    <t>Zyski nadzwyczajne</t>
  </si>
  <si>
    <t>72</t>
  </si>
  <si>
    <t>Straty nadzwyczajne</t>
  </si>
  <si>
    <t>73</t>
  </si>
  <si>
    <t>H. Zysk (strata) brutto (70+71)</t>
  </si>
  <si>
    <t>74</t>
  </si>
  <si>
    <t>I. Podatek dochodowy</t>
  </si>
  <si>
    <t>75</t>
  </si>
  <si>
    <t>J.Pozostałe obowiązkowe zmniejszenia zysku (zwiekszenia straty)</t>
  </si>
  <si>
    <t>76</t>
  </si>
  <si>
    <t>K Zysk (strata) netto (74-75-76)</t>
  </si>
  <si>
    <t>77</t>
  </si>
  <si>
    <t>Dotacje</t>
  </si>
  <si>
    <t>Podstawowa</t>
  </si>
  <si>
    <t>Projakościowa mała</t>
  </si>
  <si>
    <t>Projakościowa doktoranci</t>
  </si>
  <si>
    <t>Projakościowa z lat ubiegłych</t>
  </si>
  <si>
    <t>różnice w wyniku</t>
  </si>
  <si>
    <t>obowiązkowe podwyżki</t>
  </si>
  <si>
    <t>ZUS od podwyżek</t>
  </si>
  <si>
    <t>mniejsze przychody za czesne</t>
  </si>
  <si>
    <t>więcej przychodów bo wszedł DS.</t>
  </si>
  <si>
    <t>mniej przychodów pozostałych bo bez projektów</t>
  </si>
  <si>
    <t>mniejsza sprzedaż nieruchomości</t>
  </si>
  <si>
    <t>inne zwiększenia wynagrodzeń</t>
  </si>
  <si>
    <t>ale tu ok 511 tys to wynagrodzenie DS.</t>
  </si>
  <si>
    <t>zus od innych zwiększeń</t>
  </si>
  <si>
    <t>mniejsza dotacja na niepełnosprawnych i bez pozostałości na projakościową</t>
  </si>
  <si>
    <t>więcej stypendiów doktoranckich</t>
  </si>
  <si>
    <t>ale dodatkowo 1 do 1 było finansowanie pozostałościa 350 tys</t>
  </si>
  <si>
    <t>mniejsza dotacja statutowa</t>
  </si>
  <si>
    <t>Należy się zastanowić ile wynagrodzeń wyjąć z kosztów na fundusz niepełnosprawnych</t>
  </si>
  <si>
    <t xml:space="preserve">ok </t>
  </si>
  <si>
    <t>wzrost wynagrodzeń w dziale nauki</t>
  </si>
  <si>
    <t>w tym osobowe</t>
  </si>
  <si>
    <t>Na razie nie ujęto planowanych podwyżek energiii ok</t>
  </si>
  <si>
    <t>elektryczna 1-11</t>
  </si>
  <si>
    <t xml:space="preserve">         (pieczątka uczelni)</t>
  </si>
  <si>
    <t>Proszę wpisać nazwę uczelni</t>
  </si>
  <si>
    <t>plan po zmianach</t>
  </si>
  <si>
    <t>Przychody ze sprzedaży towarów i materiałów</t>
  </si>
  <si>
    <t>Pozostałe przychody operacyjne (21+22)</t>
  </si>
  <si>
    <t>zysk z tytułu rozchodu niefinansowych aktywów trwałych</t>
  </si>
  <si>
    <t>inne pozostałe przychody operacyjne</t>
  </si>
  <si>
    <t>w tym równowartość rocznych odpisów amortyzacyjnych środków trwałych oraz wartości niematerialnych i prawnych sfinansowanych z dotacji celowych, subwencji, a także otrzymanych nieodpłatnie z innych źródeł</t>
  </si>
  <si>
    <t>Zmiana stanu produktów (zwiększenia – wartość ujemna, zmniejszenia − wartość dodatnia)</t>
  </si>
  <si>
    <t>Ogółem koszty własne podstawowej działalności operacyjnej (39+40)</t>
  </si>
  <si>
    <t>koszty działalności gospodarczej wyodrębnionej</t>
  </si>
  <si>
    <t xml:space="preserve">Wartość sprzedanych towarów i materiałów </t>
  </si>
  <si>
    <t>Pozostałe koszty operacyjne (47+48)</t>
  </si>
  <si>
    <t>strata z tytułu rozchodu niefinansowych aktywów trwałych</t>
  </si>
  <si>
    <t xml:space="preserve">w tym odsetki uzyskane </t>
  </si>
  <si>
    <t>stan na 13.11.2018</t>
  </si>
  <si>
    <t>socjalne</t>
  </si>
  <si>
    <t>specjalne</t>
  </si>
  <si>
    <t>rektora</t>
  </si>
  <si>
    <t>rektora zapomogi</t>
  </si>
  <si>
    <r>
      <rPr>
        <b/>
        <sz val="12"/>
        <rFont val="Times New Roman"/>
        <family val="1"/>
        <charset val="238"/>
      </rP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</si>
  <si>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Wykonanie</t>
  </si>
  <si>
    <t>Pozostało</t>
  </si>
  <si>
    <t>pozostało po zmianach</t>
  </si>
  <si>
    <t>stan funduszu na początek roku</t>
  </si>
  <si>
    <t>w tym z dotacji budżetu państwa</t>
  </si>
  <si>
    <t>zwiększenia ogółem (04+06)</t>
  </si>
  <si>
    <t>dotacja z budżetu państwa</t>
  </si>
  <si>
    <t>w tym przeznaczona na pomoc dla doktorantów</t>
  </si>
  <si>
    <t>zmniejszenia ogółem (08+14)</t>
  </si>
  <si>
    <t>dla studentów (09+10+11+12+13)</t>
  </si>
  <si>
    <t xml:space="preserve">stypendia socjalne 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</si>
  <si>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</si>
  <si>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</si>
  <si>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</si>
  <si>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dla doktorantów (15+16+17+18+19)</t>
  </si>
  <si>
    <t>stypendia dla najlepszych doktorantów/ stypendia rektora</t>
  </si>
  <si>
    <t>Zmiany funduszu z tytułu korekt (+/-)</t>
  </si>
  <si>
    <r>
      <rPr>
        <b/>
        <sz val="12"/>
        <rFont val="Times New Roman"/>
        <family val="1"/>
        <charset val="238"/>
      </rP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</si>
  <si>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</si>
  <si>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</si>
  <si>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</si>
  <si>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</si>
  <si>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</si>
  <si>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</si>
  <si>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</si>
  <si>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t>Zakładowy fundusz świadczeń socjalnych</t>
  </si>
  <si>
    <t>w tym odpis w ciężar kosztów działalności w zakresie kształcenia 
i działalności naukowej</t>
  </si>
  <si>
    <t>Fundusz wsparcia osób niepełnosprawnych</t>
  </si>
  <si>
    <t xml:space="preserve">stan funduszu na początek roku </t>
  </si>
  <si>
    <t>zwiększenie ogółem</t>
  </si>
  <si>
    <t>zmniejszenie ogółem</t>
  </si>
  <si>
    <t>Inne fundusze tworzone na podstawie odrębnych ustaw lub statutu uczelni</t>
  </si>
  <si>
    <t>………..</t>
  </si>
  <si>
    <t>Dział IV. Zatrudnienie i wynagrodzenia w grupach stanowisk</t>
  </si>
  <si>
    <t>Zatrudnienie</t>
  </si>
  <si>
    <t>Wynagrodzenia wynikające ze stosunku pracy (4+6)</t>
  </si>
  <si>
    <t>osobowe</t>
  </si>
  <si>
    <t>dodatkowe wynagrodzenie roczne</t>
  </si>
  <si>
    <t>nagrody rektora</t>
  </si>
  <si>
    <t>Razem</t>
  </si>
  <si>
    <t>Nauczyciele akademiccy</t>
  </si>
  <si>
    <t>z tego w grupach stanowisk</t>
  </si>
  <si>
    <t>profesorów</t>
  </si>
  <si>
    <t>docentów, adiunktów i starszych wykładowców</t>
  </si>
  <si>
    <t>asystentów, wykładowców, lektorów i instruktorów</t>
  </si>
  <si>
    <t>Pracownicy niebędący nauczycielami akademickimi</t>
  </si>
  <si>
    <t>w ramach działalności dydaktycznej</t>
  </si>
  <si>
    <t>w tym wynagrodzenia sfinansowane ze środków przeznaczonych przez Senat uczelni publicznej na podstawie art.. 151 ust.8 ustawy</t>
  </si>
  <si>
    <t>tyle w wynagrodzeniach FPMS</t>
  </si>
  <si>
    <t>wynagrodzenia bez FPMS</t>
  </si>
  <si>
    <t>Liczba studentów ogółem (02+04)</t>
  </si>
  <si>
    <t>nowo przyjętych</t>
  </si>
  <si>
    <t>uczestników stacjonarnych studiów doktoranckich</t>
  </si>
  <si>
    <t>Liczba uczestników studiów doktoranckich pobierających stypendium doktoranckie</t>
  </si>
  <si>
    <t xml:space="preserve">w tym liczba osób pobierających stypendium doktoranckie, o którym mowa w art. 200a ust. 1 ustawy </t>
  </si>
  <si>
    <t>Kwota stypendiów doktoranckich o których mowa w art. 200 ust. 1 i 200a ust.1 ustawy</t>
  </si>
  <si>
    <t>w tym stypendia, o których mowa w art. 200a ust.1 ustawy</t>
  </si>
  <si>
    <t>liczba uczestników szkół doktorskich</t>
  </si>
  <si>
    <t>w tym uczestników stacjonarnych szkół doktorskich</t>
  </si>
  <si>
    <t>liczba pobierających stypendium doktoranckie</t>
  </si>
  <si>
    <t xml:space="preserve">Kwota </t>
  </si>
  <si>
    <t>Kwota stypendiów, o których mowa w art. 19 ust 2 ustawy o zasadach finansowania nauki</t>
  </si>
  <si>
    <t>Kwota stypendiów dla studentów i doktorantów, niewymienionych w poz. 10 i 12 oraz Dziale II</t>
  </si>
  <si>
    <t>Koszty remontów budynków i lokali oraz obiektów inżynierii lądowej i wodnej ( z wyjątkiem domów i stołówek studenckich)</t>
  </si>
  <si>
    <t>Nakłady na rzeczowe aktywa trwale</t>
  </si>
  <si>
    <t>nakłady na urządzenia techniczne i maszyny, środki transportu i inne środki trwałe</t>
  </si>
  <si>
    <t>Dotacje celowe przeznaczone na finansowanie lub dofinansowanie kosztów realizacji inwestycji i zakupów inwestycyjnych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</si>
  <si>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</si>
  <si>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</si>
  <si>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t>Bezzwrotne środki z pomocy zagranicznej na sfinansowanie lub dofinansowanie kosztów realizacji inwestycji i zakupów inwestycyjnych</t>
  </si>
  <si>
    <t>z Unii Europejskiej</t>
  </si>
  <si>
    <t>Pozostałe środki otrzymane nieodpłatnie na sfinansowanie lub dofinansowanie kosztów realizacji i zakupów inwestycyjnych (poza środkami wykazanymi w wierszach 17-20)</t>
  </si>
  <si>
    <t>Należności z tytułu udzielonych pożyczek z Zakładowego Funduszu Świadczeń Socjalnych</t>
  </si>
  <si>
    <t>Plan na 2020 rok</t>
  </si>
  <si>
    <t>profesorów uczelni</t>
  </si>
  <si>
    <t>adiunktów</t>
  </si>
  <si>
    <t>asystentów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</si>
  <si>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</si>
  <si>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</si>
  <si>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</si>
  <si>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</si>
  <si>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</si>
  <si>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</si>
  <si>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</si>
  <si>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</si>
  <si>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</si>
  <si>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</si>
  <si>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 xml:space="preserve">Dział III. Zatrudnienie i wynagrodzenia w grupach stanowisk </t>
  </si>
  <si>
    <t>Wynagrodzenia wynikające ze stosunku pracy 
(4+7)</t>
  </si>
  <si>
    <t>dodatek 
za staż pracy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</si>
  <si>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</si>
  <si>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</si>
  <si>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</si>
  <si>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</si>
  <si>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</si>
  <si>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</si>
  <si>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</si>
  <si>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</si>
  <si>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</si>
  <si>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</si>
  <si>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</si>
  <si>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</si>
  <si>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</si>
  <si>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</si>
  <si>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Dział IV. Informacje rzeczowe i uzupełniające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</si>
  <si>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</si>
  <si>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</si>
  <si>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</si>
  <si>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</si>
  <si>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</si>
  <si>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z wiersza 14</t>
  </si>
  <si>
    <t>Nakłady na rzeczowe aktywa trwałe i wartości niematerialne i prawne sfinansowane ze środków innych niż wymienione w wierszach 16-20,  a także otrzymanych nieodpłatnie</t>
  </si>
  <si>
    <t xml:space="preserve">    …………………………………..</t>
  </si>
  <si>
    <t xml:space="preserve">             (miejscowość, data)                    </t>
  </si>
  <si>
    <t>……………………..</t>
  </si>
  <si>
    <t xml:space="preserve">Plan na 2022 rok </t>
  </si>
  <si>
    <t xml:space="preserve">Nowelizacja na 2022 rok </t>
  </si>
  <si>
    <t>Plan na 2022 rok - nowelizacja</t>
  </si>
  <si>
    <r>
      <t>Przychody z podstawowej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</si>
  <si>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Plan rzeczowo-finansowy na 2022 r. - nowelizacja</t>
  </si>
  <si>
    <t>Plan na 2022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</si>
</sst>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z_ł_-;\-* #,##0.00\ _z_ł_-;_-* &quot;-&quot;??\ _z_ł_-;_-@_-"/>
    <numFmt numFmtId="164" formatCode="_-* #,##0.00\ _z_ł_-;\-* #,##0.00\ _z_ł_-;_-* \-??\ _z_ł_-;_-@_-"/>
    <numFmt numFmtId="165" formatCode="#,##0.0"/>
    <numFmt numFmtId="166" formatCode="_-* #,##0.0\ _z_ł_-;\-* #,##0.0\ _z_ł_-;_-* \-??\ _z_ł_-;_-@_-"/>
    <numFmt numFmtId="167" formatCode="0.00000"/>
    <numFmt numFmtId="168" formatCode="_-* #,##0.0\ _z_ł_-;\-* #,##0.0\ _z_ł_-;_-* \-?\ _z_ł_-;_-@_-"/>
    <numFmt numFmtId="169" formatCode="_-* #,##0\ _z_ł_-;\-* #,##0\ _z_ł_-;_-* \-??\ _z_ł_-;_-@_-"/>
    <numFmt numFmtId="170" formatCode="_-* #,##0.00000\ _z_ł_-;\-* #,##0.00000\ _z_ł_-;_-* \-??\ _z_ł_-;_-@_-"/>
    <numFmt numFmtId="171" formatCode="_-* #,##0.000000\ _z_ł_-;\-* #,##0.000000\ _z_ł_-;_-* \-??\ _z_ł_-;_-@_-"/>
    <numFmt numFmtId="172" formatCode="_-* #,##0.0000000000\ _z_ł_-;\-* #,##0.0000000000\ _z_ł_-;_-* \-??\ _z_ł_-;_-@_-"/>
    <numFmt numFmtId="173" formatCode="#,##0.0_ ;\-#,##0.0\ "/>
    <numFmt numFmtId="174" formatCode="0.0"/>
  </numFmts>
  <fonts count="40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i/>
      <sz val="12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FFFFFF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4"/>
      <name val="Calibri"/>
      <family val="2"/>
      <charset val="238"/>
    </font>
    <font>
      <sz val="12"/>
      <name val="Arial CE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indexed="55"/>
      <name val="Calibri"/>
      <family val="2"/>
      <charset val="238"/>
    </font>
    <font>
      <b/>
      <sz val="8"/>
      <color indexed="55"/>
      <name val="Tahoma"/>
      <family val="2"/>
      <charset val="238"/>
    </font>
    <font>
      <sz val="8"/>
      <color indexed="55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FFCC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0070C0"/>
        <bgColor indexed="64"/>
      </patternFill>
    </fill>
  </fills>
  <borders count="18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0" fontId="1" fillId="0" borderId="0"/>
    <xf numFmtId="0" fontId="1" fillId="0" borderId="0"/>
    <xf numFmtId="0" fontId="39" fillId="0" borderId="0"/>
  </cellStyleXfs>
  <cellXfs count="619">
    <xf numFmtId="0" fontId="0" fillId="0" borderId="0" xfId="0"/>
    <xf numFmtId="0" fontId="1" fillId="0" borderId="0" xfId="10" applyAlignment="1" applyProtection="1">
      <alignment horizontal="left" vertical="center"/>
    </xf>
    <xf numFmtId="0" fontId="1" fillId="0" borderId="0" xfId="10" applyAlignment="1" applyProtection="1">
      <alignment horizontal="center" vertical="center" wrapText="1"/>
    </xf>
    <xf numFmtId="0" fontId="1" fillId="0" borderId="0" xfId="10" applyAlignment="1" applyProtection="1">
      <alignment wrapText="1"/>
    </xf>
    <xf numFmtId="0" fontId="1" fillId="0" borderId="0" xfId="10" applyAlignment="1" applyProtection="1">
      <alignment horizontal="center"/>
    </xf>
    <xf numFmtId="0" fontId="1" fillId="0" borderId="0" xfId="10" applyProtection="1"/>
    <xf numFmtId="0" fontId="1" fillId="0" borderId="0" xfId="10" applyAlignment="1" applyProtection="1"/>
    <xf numFmtId="0" fontId="2" fillId="0" borderId="0" xfId="10" applyFont="1" applyAlignment="1" applyProtection="1">
      <alignment horizontal="left" vertical="center" wrapText="1"/>
    </xf>
    <xf numFmtId="0" fontId="3" fillId="0" borderId="2" xfId="10" applyFont="1" applyBorder="1" applyAlignment="1" applyProtection="1">
      <alignment horizontal="center" vertical="center" wrapText="1"/>
    </xf>
    <xf numFmtId="0" fontId="3" fillId="0" borderId="3" xfId="10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4" xfId="10" applyFont="1" applyBorder="1" applyAlignment="1" applyProtection="1">
      <alignment horizontal="center" vertical="top" wrapText="1"/>
    </xf>
    <xf numFmtId="0" fontId="4" fillId="0" borderId="6" xfId="10" applyFont="1" applyBorder="1" applyAlignment="1" applyProtection="1">
      <alignment horizontal="center" vertical="top" wrapText="1"/>
    </xf>
    <xf numFmtId="0" fontId="0" fillId="0" borderId="4" xfId="0" applyBorder="1"/>
    <xf numFmtId="0" fontId="3" fillId="0" borderId="4" xfId="10" applyFont="1" applyBorder="1" applyAlignment="1" applyProtection="1">
      <alignment horizontal="center" vertical="center" wrapText="1"/>
    </xf>
    <xf numFmtId="3" fontId="5" fillId="0" borderId="6" xfId="10" applyNumberFormat="1" applyFont="1" applyBorder="1" applyAlignment="1" applyProtection="1">
      <alignment horizontal="right" vertical="center" wrapText="1"/>
    </xf>
    <xf numFmtId="3" fontId="5" fillId="0" borderId="4" xfId="10" applyNumberFormat="1" applyFont="1" applyBorder="1" applyAlignment="1" applyProtection="1">
      <alignment horizontal="right" vertical="center" wrapText="1"/>
    </xf>
    <xf numFmtId="3" fontId="6" fillId="0" borderId="6" xfId="10" applyNumberFormat="1" applyFont="1" applyBorder="1" applyAlignment="1" applyProtection="1">
      <alignment vertical="center"/>
      <protection locked="0"/>
    </xf>
    <xf numFmtId="164" fontId="0" fillId="0" borderId="0" xfId="1" applyFont="1" applyBorder="1" applyAlignment="1" applyProtection="1"/>
    <xf numFmtId="0" fontId="3" fillId="0" borderId="9" xfId="10" applyFont="1" applyBorder="1" applyAlignment="1" applyProtection="1">
      <alignment horizontal="left" vertical="center" wrapText="1"/>
    </xf>
    <xf numFmtId="0" fontId="3" fillId="0" borderId="9" xfId="10" applyFont="1" applyBorder="1" applyAlignment="1" applyProtection="1">
      <alignment horizontal="center" vertical="center" wrapText="1"/>
    </xf>
    <xf numFmtId="0" fontId="3" fillId="0" borderId="11" xfId="10" applyFont="1" applyBorder="1" applyAlignment="1" applyProtection="1">
      <alignment horizontal="left" vertical="center" wrapText="1"/>
    </xf>
    <xf numFmtId="0" fontId="3" fillId="0" borderId="4" xfId="10" applyFont="1" applyBorder="1" applyAlignment="1" applyProtection="1">
      <alignment horizontal="center" vertical="center" wrapText="1"/>
    </xf>
    <xf numFmtId="165" fontId="6" fillId="0" borderId="6" xfId="1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0" fontId="3" fillId="0" borderId="13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horizontal="center" vertical="center" wrapText="1"/>
    </xf>
    <xf numFmtId="165" fontId="6" fillId="0" borderId="14" xfId="10" applyNumberFormat="1" applyFont="1" applyBorder="1" applyAlignment="1" applyProtection="1">
      <alignment vertical="center"/>
      <protection locked="0"/>
    </xf>
    <xf numFmtId="0" fontId="3" fillId="0" borderId="8" xfId="10" applyFont="1" applyBorder="1" applyAlignment="1" applyProtection="1">
      <alignment horizontal="center" vertical="center" wrapText="1"/>
    </xf>
    <xf numFmtId="0" fontId="3" fillId="0" borderId="9" xfId="10" applyFont="1" applyBorder="1" applyAlignment="1" applyProtection="1">
      <alignment horizontal="center" vertical="center" wrapText="1"/>
    </xf>
    <xf numFmtId="0" fontId="3" fillId="0" borderId="16" xfId="10" applyFont="1" applyBorder="1" applyAlignment="1" applyProtection="1">
      <alignment horizontal="center" vertical="center" wrapText="1"/>
    </xf>
    <xf numFmtId="0" fontId="3" fillId="0" borderId="11" xfId="10" applyFont="1" applyBorder="1" applyAlignment="1" applyProtection="1">
      <alignment horizontal="center" vertical="center" wrapText="1"/>
    </xf>
    <xf numFmtId="0" fontId="3" fillId="0" borderId="18" xfId="10" applyFont="1" applyBorder="1" applyAlignment="1" applyProtection="1">
      <alignment horizontal="center" vertical="center" wrapText="1"/>
    </xf>
    <xf numFmtId="0" fontId="3" fillId="0" borderId="18" xfId="10" applyFont="1" applyBorder="1" applyAlignment="1" applyProtection="1">
      <alignment horizontal="center" vertical="center" wrapText="1"/>
    </xf>
    <xf numFmtId="165" fontId="6" fillId="0" borderId="19" xfId="10" applyNumberFormat="1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horizontal="center" vertical="center" wrapText="1"/>
    </xf>
    <xf numFmtId="165" fontId="6" fillId="0" borderId="0" xfId="10" applyNumberFormat="1" applyFont="1" applyBorder="1" applyAlignment="1" applyProtection="1">
      <alignment vertical="center"/>
      <protection locked="0"/>
    </xf>
    <xf numFmtId="0" fontId="0" fillId="0" borderId="0" xfId="0" applyBorder="1"/>
    <xf numFmtId="165" fontId="6" fillId="0" borderId="4" xfId="10" applyNumberFormat="1" applyFont="1" applyBorder="1" applyAlignment="1" applyProtection="1">
      <alignment vertical="center"/>
      <protection locked="0"/>
    </xf>
    <xf numFmtId="0" fontId="1" fillId="0" borderId="0" xfId="10" applyProtection="1">
      <protection locked="0"/>
    </xf>
    <xf numFmtId="0" fontId="8" fillId="0" borderId="0" xfId="10" applyFont="1" applyBorder="1" applyAlignment="1" applyProtection="1">
      <alignment horizontal="center" wrapText="1"/>
      <protection locked="0"/>
    </xf>
    <xf numFmtId="0" fontId="0" fillId="0" borderId="0" xfId="10" applyFont="1" applyAlignment="1" applyProtection="1">
      <alignment horizontal="right" wrapText="1"/>
      <protection locked="0"/>
    </xf>
    <xf numFmtId="0" fontId="1" fillId="0" borderId="0" xfId="10" applyAlignment="1" applyProtection="1">
      <alignment wrapText="1"/>
      <protection locked="0"/>
    </xf>
    <xf numFmtId="0" fontId="9" fillId="0" borderId="0" xfId="10" applyFont="1" applyBorder="1" applyAlignment="1" applyProtection="1">
      <alignment horizontal="left"/>
      <protection locked="0"/>
    </xf>
    <xf numFmtId="0" fontId="9" fillId="0" borderId="0" xfId="10" applyFont="1" applyAlignment="1" applyProtection="1">
      <alignment horizontal="right"/>
      <protection locked="0"/>
    </xf>
    <xf numFmtId="0" fontId="9" fillId="0" borderId="0" xfId="10" applyFont="1" applyAlignment="1" applyProtection="1">
      <alignment horizontal="center"/>
      <protection locked="0"/>
    </xf>
    <xf numFmtId="0" fontId="9" fillId="0" borderId="0" xfId="10" applyFont="1" applyBorder="1" applyAlignment="1" applyProtection="1">
      <alignment vertical="center"/>
      <protection locked="0"/>
    </xf>
    <xf numFmtId="0" fontId="0" fillId="0" borderId="0" xfId="0"/>
    <xf numFmtId="164" fontId="0" fillId="0" borderId="0" xfId="8" applyFont="1" applyBorder="1" applyAlignment="1" applyProtection="1"/>
    <xf numFmtId="0" fontId="0" fillId="2" borderId="0" xfId="0" applyFill="1"/>
    <xf numFmtId="164" fontId="0" fillId="2" borderId="0" xfId="8" applyFont="1" applyFill="1" applyBorder="1" applyAlignment="1" applyProtection="1"/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64" fontId="0" fillId="0" borderId="4" xfId="1" applyFont="1" applyBorder="1" applyAlignment="1" applyProtection="1"/>
    <xf numFmtId="0" fontId="13" fillId="0" borderId="4" xfId="0" applyFont="1" applyBorder="1" applyAlignment="1">
      <alignment wrapText="1"/>
    </xf>
    <xf numFmtId="0" fontId="0" fillId="0" borderId="4" xfId="0" applyFont="1" applyBorder="1" applyAlignment="1">
      <alignment vertical="center"/>
    </xf>
    <xf numFmtId="166" fontId="0" fillId="0" borderId="4" xfId="1" applyNumberFormat="1" applyFont="1" applyBorder="1" applyAlignment="1" applyProtection="1"/>
    <xf numFmtId="164" fontId="0" fillId="0" borderId="20" xfId="1" applyFont="1" applyBorder="1" applyAlignment="1" applyProtection="1"/>
    <xf numFmtId="0" fontId="12" fillId="0" borderId="16" xfId="0" applyFont="1" applyBorder="1"/>
    <xf numFmtId="0" fontId="14" fillId="0" borderId="0" xfId="0" applyFont="1"/>
    <xf numFmtId="164" fontId="12" fillId="0" borderId="4" xfId="1" applyFont="1" applyBorder="1" applyAlignment="1" applyProtection="1"/>
    <xf numFmtId="0" fontId="16" fillId="0" borderId="0" xfId="9" applyFont="1" applyAlignment="1" applyProtection="1">
      <alignment horizontal="center" vertical="center" wrapText="1"/>
    </xf>
    <xf numFmtId="0" fontId="1" fillId="0" borderId="0" xfId="9" applyProtection="1"/>
    <xf numFmtId="0" fontId="1" fillId="0" borderId="0" xfId="9" applyAlignment="1" applyProtection="1">
      <alignment wrapText="1"/>
    </xf>
    <xf numFmtId="4" fontId="0" fillId="0" borderId="0" xfId="0" applyNumberFormat="1"/>
    <xf numFmtId="166" fontId="0" fillId="0" borderId="0" xfId="1" applyNumberFormat="1" applyFont="1" applyBorder="1" applyAlignment="1" applyProtection="1"/>
    <xf numFmtId="167" fontId="0" fillId="0" borderId="0" xfId="0" applyNumberFormat="1"/>
    <xf numFmtId="0" fontId="0" fillId="0" borderId="0" xfId="0" applyAlignment="1">
      <alignment horizontal="left"/>
    </xf>
    <xf numFmtId="4" fontId="0" fillId="0" borderId="4" xfId="0" applyNumberFormat="1" applyFont="1" applyBorder="1" applyAlignment="1">
      <alignment horizontal="center" wrapText="1"/>
    </xf>
    <xf numFmtId="166" fontId="0" fillId="0" borderId="4" xfId="1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1" applyNumberFormat="1" applyFont="1" applyBorder="1" applyAlignment="1" applyProtection="1">
      <alignment horizontal="center"/>
    </xf>
    <xf numFmtId="4" fontId="0" fillId="0" borderId="4" xfId="1" applyNumberFormat="1" applyFont="1" applyBorder="1" applyAlignment="1" applyProtection="1"/>
    <xf numFmtId="168" fontId="0" fillId="0" borderId="0" xfId="0" applyNumberFormat="1"/>
    <xf numFmtId="0" fontId="0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" fontId="0" fillId="0" borderId="4" xfId="0" applyNumberFormat="1" applyBorder="1"/>
    <xf numFmtId="49" fontId="0" fillId="0" borderId="0" xfId="0" applyNumberFormat="1" applyBorder="1" applyAlignment="1">
      <alignment horizontal="center"/>
    </xf>
    <xf numFmtId="4" fontId="12" fillId="0" borderId="0" xfId="0" applyNumberFormat="1" applyFont="1"/>
    <xf numFmtId="4" fontId="0" fillId="0" borderId="0" xfId="1" applyNumberFormat="1" applyFont="1" applyBorder="1" applyAlignment="1" applyProtection="1"/>
    <xf numFmtId="4" fontId="0" fillId="2" borderId="0" xfId="0" applyNumberFormat="1" applyFill="1"/>
    <xf numFmtId="166" fontId="0" fillId="2" borderId="0" xfId="1" applyNumberFormat="1" applyFont="1" applyFill="1" applyBorder="1" applyAlignment="1" applyProtection="1"/>
    <xf numFmtId="164" fontId="0" fillId="2" borderId="0" xfId="1" applyFont="1" applyFill="1" applyBorder="1" applyAlignment="1" applyProtection="1"/>
    <xf numFmtId="0" fontId="1" fillId="0" borderId="0" xfId="9" applyAlignment="1" applyProtection="1">
      <alignment horizontal="center"/>
    </xf>
    <xf numFmtId="0" fontId="2" fillId="0" borderId="0" xfId="9" applyFont="1" applyAlignment="1" applyProtection="1">
      <alignment horizontal="left" vertical="center"/>
    </xf>
    <xf numFmtId="165" fontId="0" fillId="0" borderId="0" xfId="0" applyNumberFormat="1"/>
    <xf numFmtId="166" fontId="0" fillId="0" borderId="0" xfId="0" applyNumberFormat="1"/>
    <xf numFmtId="166" fontId="0" fillId="0" borderId="4" xfId="0" applyNumberFormat="1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/>
    </xf>
    <xf numFmtId="169" fontId="0" fillId="0" borderId="4" xfId="0" applyNumberFormat="1" applyBorder="1" applyAlignment="1"/>
    <xf numFmtId="170" fontId="0" fillId="0" borderId="0" xfId="0" applyNumberFormat="1"/>
    <xf numFmtId="171" fontId="0" fillId="0" borderId="0" xfId="0" applyNumberFormat="1"/>
    <xf numFmtId="172" fontId="0" fillId="0" borderId="0" xfId="1" applyNumberFormat="1" applyFont="1" applyBorder="1" applyAlignment="1" applyProtection="1"/>
    <xf numFmtId="0" fontId="1" fillId="0" borderId="0" xfId="9" applyAlignment="1" applyProtection="1">
      <alignment horizontal="left" vertical="center"/>
    </xf>
    <xf numFmtId="0" fontId="2" fillId="0" borderId="0" xfId="9" applyFont="1" applyBorder="1" applyAlignment="1" applyProtection="1">
      <alignment horizontal="left" vertical="center" wrapText="1"/>
    </xf>
    <xf numFmtId="0" fontId="0" fillId="0" borderId="6" xfId="0" applyFont="1" applyBorder="1"/>
    <xf numFmtId="0" fontId="0" fillId="0" borderId="4" xfId="0" applyFont="1" applyBorder="1"/>
    <xf numFmtId="165" fontId="6" fillId="0" borderId="4" xfId="10" applyNumberFormat="1" applyFont="1" applyBorder="1" applyAlignment="1" applyProtection="1">
      <alignment horizontal="right" vertical="center" wrapText="1"/>
    </xf>
    <xf numFmtId="0" fontId="3" fillId="0" borderId="6" xfId="10" applyFont="1" applyBorder="1" applyAlignment="1" applyProtection="1">
      <alignment horizontal="center" vertical="center" wrapText="1"/>
    </xf>
    <xf numFmtId="165" fontId="6" fillId="0" borderId="6" xfId="10" applyNumberFormat="1" applyFont="1" applyBorder="1" applyAlignment="1" applyProtection="1">
      <alignment horizontal="right" vertical="center" wrapText="1"/>
    </xf>
    <xf numFmtId="165" fontId="17" fillId="0" borderId="4" xfId="10" applyNumberFormat="1" applyFont="1" applyBorder="1" applyAlignment="1" applyProtection="1">
      <alignment vertical="center"/>
      <protection locked="0"/>
    </xf>
    <xf numFmtId="165" fontId="26" fillId="0" borderId="6" xfId="0" applyNumberFormat="1" applyFont="1" applyBorder="1"/>
    <xf numFmtId="165" fontId="6" fillId="0" borderId="6" xfId="10" applyNumberFormat="1" applyFont="1" applyBorder="1" applyAlignment="1" applyProtection="1">
      <alignment vertical="center"/>
    </xf>
    <xf numFmtId="165" fontId="6" fillId="0" borderId="4" xfId="10" applyNumberFormat="1" applyFont="1" applyBorder="1" applyAlignment="1" applyProtection="1">
      <alignment vertical="center"/>
    </xf>
    <xf numFmtId="0" fontId="3" fillId="0" borderId="4" xfId="10" applyFont="1" applyBorder="1" applyAlignment="1" applyProtection="1">
      <alignment vertical="center" wrapText="1"/>
    </xf>
    <xf numFmtId="165" fontId="26" fillId="0" borderId="4" xfId="0" applyNumberFormat="1" applyFont="1" applyBorder="1"/>
    <xf numFmtId="165" fontId="17" fillId="0" borderId="6" xfId="10" applyNumberFormat="1" applyFont="1" applyBorder="1" applyAlignment="1" applyProtection="1">
      <alignment horizontal="right" vertical="center" wrapText="1"/>
    </xf>
    <xf numFmtId="165" fontId="17" fillId="0" borderId="4" xfId="1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24" xfId="1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0" fillId="0" borderId="20" xfId="0" applyBorder="1"/>
    <xf numFmtId="166" fontId="0" fillId="0" borderId="4" xfId="1" applyNumberFormat="1" applyFont="1" applyBorder="1" applyAlignment="1" applyProtection="1">
      <alignment vertical="center"/>
    </xf>
    <xf numFmtId="0" fontId="3" fillId="0" borderId="4" xfId="0" applyFont="1" applyBorder="1" applyAlignment="1">
      <alignment vertical="center" wrapText="1"/>
    </xf>
    <xf numFmtId="166" fontId="12" fillId="0" borderId="4" xfId="1" applyNumberFormat="1" applyFont="1" applyBorder="1" applyAlignment="1" applyProtection="1"/>
    <xf numFmtId="166" fontId="12" fillId="0" borderId="4" xfId="1" applyNumberFormat="1" applyFont="1" applyBorder="1" applyAlignment="1" applyProtection="1">
      <alignment vertical="center"/>
    </xf>
    <xf numFmtId="0" fontId="3" fillId="0" borderId="4" xfId="0" applyFont="1" applyBorder="1"/>
    <xf numFmtId="49" fontId="3" fillId="0" borderId="4" xfId="0" applyNumberFormat="1" applyFont="1" applyBorder="1" applyAlignment="1">
      <alignment horizontal="center" vertical="center"/>
    </xf>
    <xf numFmtId="166" fontId="14" fillId="0" borderId="0" xfId="0" applyNumberFormat="1" applyFont="1"/>
    <xf numFmtId="169" fontId="0" fillId="0" borderId="4" xfId="2" applyNumberFormat="1" applyFont="1" applyBorder="1" applyAlignment="1" applyProtection="1">
      <alignment horizontal="center"/>
    </xf>
    <xf numFmtId="169" fontId="0" fillId="0" borderId="4" xfId="0" applyNumberFormat="1" applyFont="1" applyBorder="1" applyAlignment="1">
      <alignment horizontal="center"/>
    </xf>
    <xf numFmtId="0" fontId="1" fillId="0" borderId="4" xfId="0" applyFont="1" applyBorder="1"/>
    <xf numFmtId="169" fontId="0" fillId="0" borderId="0" xfId="0" applyNumberFormat="1"/>
    <xf numFmtId="166" fontId="0" fillId="0" borderId="4" xfId="0" applyNumberFormat="1" applyFont="1" applyBorder="1"/>
    <xf numFmtId="49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6" fontId="0" fillId="2" borderId="4" xfId="1" applyNumberFormat="1" applyFont="1" applyFill="1" applyBorder="1" applyAlignment="1" applyProtection="1"/>
    <xf numFmtId="164" fontId="31" fillId="0" borderId="0" xfId="1"/>
    <xf numFmtId="43" fontId="0" fillId="0" borderId="0" xfId="0" applyNumberFormat="1"/>
    <xf numFmtId="164" fontId="0" fillId="0" borderId="0" xfId="1" applyFont="1"/>
    <xf numFmtId="0" fontId="0" fillId="0" borderId="9" xfId="0" applyBorder="1"/>
    <xf numFmtId="165" fontId="6" fillId="0" borderId="9" xfId="10" applyNumberFormat="1" applyFont="1" applyBorder="1" applyAlignment="1" applyProtection="1">
      <alignment horizontal="right" vertical="center" wrapText="1"/>
    </xf>
    <xf numFmtId="165" fontId="6" fillId="0" borderId="32" xfId="10" applyNumberFormat="1" applyFont="1" applyBorder="1" applyAlignment="1" applyProtection="1">
      <alignment vertical="center"/>
    </xf>
    <xf numFmtId="165" fontId="6" fillId="0" borderId="9" xfId="10" applyNumberFormat="1" applyFont="1" applyBorder="1" applyAlignment="1" applyProtection="1">
      <alignment vertical="center"/>
      <protection locked="0"/>
    </xf>
    <xf numFmtId="165" fontId="17" fillId="0" borderId="9" xfId="10" applyNumberFormat="1" applyFont="1" applyBorder="1" applyAlignment="1" applyProtection="1">
      <alignment horizontal="right" vertical="center" wrapText="1"/>
    </xf>
    <xf numFmtId="0" fontId="4" fillId="0" borderId="25" xfId="10" applyFont="1" applyBorder="1" applyAlignment="1" applyProtection="1">
      <alignment horizontal="center" vertical="center"/>
    </xf>
    <xf numFmtId="165" fontId="17" fillId="0" borderId="25" xfId="10" applyNumberFormat="1" applyFont="1" applyBorder="1" applyAlignment="1" applyProtection="1">
      <alignment vertical="center"/>
      <protection locked="0"/>
    </xf>
    <xf numFmtId="165" fontId="6" fillId="0" borderId="25" xfId="10" applyNumberFormat="1" applyFont="1" applyBorder="1" applyAlignment="1" applyProtection="1">
      <alignment horizontal="right" vertical="center" wrapText="1"/>
    </xf>
    <xf numFmtId="165" fontId="6" fillId="0" borderId="25" xfId="10" applyNumberFormat="1" applyFont="1" applyBorder="1" applyAlignment="1" applyProtection="1">
      <alignment vertical="center"/>
      <protection locked="0"/>
    </xf>
    <xf numFmtId="165" fontId="6" fillId="0" borderId="25" xfId="10" applyNumberFormat="1" applyFont="1" applyBorder="1" applyAlignment="1" applyProtection="1">
      <alignment vertical="center"/>
    </xf>
    <xf numFmtId="165" fontId="17" fillId="0" borderId="25" xfId="10" applyNumberFormat="1" applyFont="1" applyBorder="1" applyAlignment="1" applyProtection="1">
      <alignment horizontal="right" vertical="center" wrapText="1"/>
    </xf>
    <xf numFmtId="165" fontId="6" fillId="0" borderId="26" xfId="10" applyNumberFormat="1" applyFont="1" applyBorder="1" applyAlignment="1" applyProtection="1">
      <alignment vertical="center"/>
      <protection locked="0"/>
    </xf>
    <xf numFmtId="0" fontId="0" fillId="0" borderId="0" xfId="0" applyFill="1"/>
    <xf numFmtId="0" fontId="3" fillId="0" borderId="33" xfId="10" applyFont="1" applyBorder="1" applyAlignment="1" applyProtection="1">
      <alignment horizontal="center" vertical="center" wrapText="1"/>
    </xf>
    <xf numFmtId="0" fontId="3" fillId="0" borderId="4" xfId="9" quotePrefix="1" applyFont="1" applyFill="1" applyBorder="1" applyAlignment="1" applyProtection="1">
      <alignment horizontal="center" vertical="center" wrapText="1"/>
    </xf>
    <xf numFmtId="0" fontId="3" fillId="0" borderId="9" xfId="9" quotePrefix="1" applyFont="1" applyFill="1" applyBorder="1" applyAlignment="1" applyProtection="1">
      <alignment horizontal="center" vertical="center" wrapText="1"/>
    </xf>
    <xf numFmtId="0" fontId="3" fillId="0" borderId="8" xfId="9" quotePrefix="1" applyFont="1" applyFill="1" applyBorder="1" applyAlignment="1" applyProtection="1">
      <alignment horizontal="center" vertical="center" wrapText="1"/>
    </xf>
    <xf numFmtId="0" fontId="3" fillId="0" borderId="18" xfId="9" quotePrefix="1" applyFont="1" applyFill="1" applyBorder="1" applyAlignment="1" applyProtection="1">
      <alignment horizontal="center" vertical="center" wrapText="1"/>
    </xf>
    <xf numFmtId="0" fontId="3" fillId="0" borderId="0" xfId="9" applyFont="1" applyFill="1" applyBorder="1" applyAlignment="1" applyProtection="1">
      <alignment horizontal="center" wrapText="1"/>
    </xf>
    <xf numFmtId="0" fontId="2" fillId="0" borderId="0" xfId="9" applyFont="1" applyFill="1" applyBorder="1" applyAlignment="1" applyProtection="1">
      <alignment horizontal="left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40" xfId="9" applyFont="1" applyFill="1" applyBorder="1" applyAlignment="1" applyProtection="1">
      <alignment horizontal="center" vertical="center" wrapText="1"/>
    </xf>
    <xf numFmtId="0" fontId="3" fillId="0" borderId="0" xfId="10" applyFont="1" applyAlignment="1" applyProtection="1">
      <alignment vertical="center"/>
    </xf>
    <xf numFmtId="0" fontId="3" fillId="0" borderId="39" xfId="10" applyFont="1" applyBorder="1" applyAlignment="1" applyProtection="1">
      <alignment horizontal="center" vertical="center" wrapText="1"/>
    </xf>
    <xf numFmtId="0" fontId="3" fillId="0" borderId="63" xfId="10" applyFont="1" applyBorder="1" applyAlignment="1" applyProtection="1">
      <alignment horizontal="center" vertical="center" wrapText="1"/>
    </xf>
    <xf numFmtId="0" fontId="35" fillId="0" borderId="0" xfId="10" applyFont="1" applyProtection="1"/>
    <xf numFmtId="0" fontId="6" fillId="0" borderId="0" xfId="10" quotePrefix="1" applyFont="1" applyProtection="1"/>
    <xf numFmtId="0" fontId="2" fillId="0" borderId="0" xfId="9" applyFont="1" applyFill="1" applyBorder="1" applyAlignment="1" applyProtection="1">
      <alignment horizontal="left" wrapText="1"/>
      <protection locked="0"/>
    </xf>
    <xf numFmtId="0" fontId="3" fillId="0" borderId="71" xfId="9" applyFont="1" applyFill="1" applyBorder="1" applyAlignment="1" applyProtection="1">
      <alignment horizontal="center" vertical="center" wrapText="1"/>
    </xf>
    <xf numFmtId="0" fontId="3" fillId="0" borderId="74" xfId="9" applyFont="1" applyFill="1" applyBorder="1" applyAlignment="1" applyProtection="1">
      <alignment horizontal="center" vertical="center" wrapText="1"/>
    </xf>
    <xf numFmtId="0" fontId="3" fillId="0" borderId="76" xfId="10" applyFont="1" applyBorder="1" applyAlignment="1" applyProtection="1">
      <alignment horizontal="center" vertical="center" wrapText="1"/>
    </xf>
    <xf numFmtId="0" fontId="4" fillId="0" borderId="39" xfId="10" applyFont="1" applyBorder="1" applyAlignment="1" applyProtection="1">
      <alignment horizontal="center" vertical="top" wrapText="1"/>
    </xf>
    <xf numFmtId="0" fontId="3" fillId="0" borderId="40" xfId="10" applyFont="1" applyBorder="1" applyAlignment="1" applyProtection="1">
      <alignment vertical="center" wrapText="1"/>
    </xf>
    <xf numFmtId="0" fontId="3" fillId="0" borderId="43" xfId="10" applyFont="1" applyBorder="1" applyAlignment="1" applyProtection="1">
      <alignment horizontal="left" vertical="center" wrapText="1"/>
    </xf>
    <xf numFmtId="0" fontId="3" fillId="0" borderId="83" xfId="10" applyFont="1" applyBorder="1" applyAlignment="1" applyProtection="1">
      <alignment horizontal="left" vertical="center" wrapText="1"/>
    </xf>
    <xf numFmtId="0" fontId="3" fillId="0" borderId="39" xfId="10" applyFont="1" applyFill="1" applyBorder="1" applyAlignment="1" applyProtection="1">
      <alignment horizontal="center" vertical="center" wrapText="1"/>
    </xf>
    <xf numFmtId="0" fontId="3" fillId="0" borderId="63" xfId="10" applyFont="1" applyFill="1" applyBorder="1" applyAlignment="1" applyProtection="1">
      <alignment horizontal="center" vertical="center" wrapText="1"/>
    </xf>
    <xf numFmtId="0" fontId="3" fillId="0" borderId="62" xfId="10" applyFont="1" applyFill="1" applyBorder="1" applyAlignment="1" applyProtection="1">
      <alignment horizontal="center" vertical="center" wrapText="1"/>
    </xf>
    <xf numFmtId="0" fontId="3" fillId="0" borderId="58" xfId="10" applyFont="1" applyFill="1" applyBorder="1" applyAlignment="1" applyProtection="1">
      <alignment horizontal="center" vertical="center" wrapText="1"/>
    </xf>
    <xf numFmtId="0" fontId="0" fillId="0" borderId="0" xfId="10" applyFont="1" applyAlignment="1" applyProtection="1">
      <alignment horizontal="center" wrapText="1"/>
      <protection locked="0"/>
    </xf>
    <xf numFmtId="14" fontId="0" fillId="0" borderId="0" xfId="0" applyNumberFormat="1"/>
    <xf numFmtId="0" fontId="1" fillId="0" borderId="0" xfId="9" applyFont="1" applyFill="1" applyProtection="1">
      <protection locked="0"/>
    </xf>
    <xf numFmtId="0" fontId="0" fillId="0" borderId="0" xfId="0"/>
    <xf numFmtId="165" fontId="20" fillId="0" borderId="25" xfId="9" applyNumberFormat="1" applyFont="1" applyFill="1" applyBorder="1" applyAlignment="1" applyProtection="1">
      <alignment horizontal="right" vertical="center" wrapText="1"/>
      <protection locked="0"/>
    </xf>
    <xf numFmtId="173" fontId="0" fillId="0" borderId="4" xfId="1" applyNumberFormat="1" applyFont="1" applyBorder="1" applyAlignment="1" applyProtection="1"/>
    <xf numFmtId="174" fontId="0" fillId="0" borderId="4" xfId="1" applyNumberFormat="1" applyFont="1" applyBorder="1" applyAlignment="1" applyProtection="1"/>
    <xf numFmtId="174" fontId="0" fillId="0" borderId="16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3" fillId="0" borderId="68" xfId="9" quotePrefix="1" applyFont="1" applyFill="1" applyBorder="1" applyAlignment="1" applyProtection="1">
      <alignment horizontal="center" vertical="center" wrapText="1"/>
    </xf>
    <xf numFmtId="0" fontId="0" fillId="0" borderId="89" xfId="0" applyBorder="1" applyAlignment="1">
      <alignment horizontal="center"/>
    </xf>
    <xf numFmtId="173" fontId="0" fillId="0" borderId="23" xfId="1" applyNumberFormat="1" applyFont="1" applyBorder="1" applyAlignment="1" applyProtection="1"/>
    <xf numFmtId="173" fontId="12" fillId="0" borderId="91" xfId="1" applyNumberFormat="1" applyFont="1" applyBorder="1" applyAlignment="1" applyProtection="1"/>
    <xf numFmtId="0" fontId="3" fillId="0" borderId="93" xfId="9" quotePrefix="1" applyFont="1" applyFill="1" applyBorder="1" applyAlignment="1" applyProtection="1">
      <alignment horizontal="center" vertical="center" wrapText="1"/>
    </xf>
    <xf numFmtId="173" fontId="0" fillId="0" borderId="89" xfId="1" applyNumberFormat="1" applyFont="1" applyBorder="1" applyAlignment="1" applyProtection="1"/>
    <xf numFmtId="0" fontId="3" fillId="0" borderId="68" xfId="9" applyFont="1" applyFill="1" applyBorder="1" applyAlignment="1" applyProtection="1">
      <alignment horizontal="center" vertical="center" wrapText="1"/>
    </xf>
    <xf numFmtId="0" fontId="3" fillId="0" borderId="19" xfId="9" applyFont="1" applyFill="1" applyBorder="1" applyAlignment="1" applyProtection="1">
      <alignment horizontal="center" vertical="center" wrapText="1"/>
    </xf>
    <xf numFmtId="174" fontId="0" fillId="0" borderId="23" xfId="1" applyNumberFormat="1" applyFont="1" applyBorder="1" applyAlignment="1" applyProtection="1"/>
    <xf numFmtId="173" fontId="12" fillId="0" borderId="94" xfId="1" applyNumberFormat="1" applyFont="1" applyBorder="1" applyAlignment="1" applyProtection="1"/>
    <xf numFmtId="0" fontId="3" fillId="0" borderId="95" xfId="9" applyFont="1" applyFill="1" applyBorder="1" applyAlignment="1" applyProtection="1">
      <alignment horizontal="center" vertical="center" wrapText="1"/>
    </xf>
    <xf numFmtId="174" fontId="12" fillId="0" borderId="91" xfId="1" applyNumberFormat="1" applyFont="1" applyBorder="1" applyAlignment="1" applyProtection="1"/>
    <xf numFmtId="174" fontId="0" fillId="0" borderId="89" xfId="1" applyNumberFormat="1" applyFont="1" applyBorder="1" applyAlignment="1" applyProtection="1"/>
    <xf numFmtId="174" fontId="12" fillId="0" borderId="94" xfId="1" applyNumberFormat="1" applyFont="1" applyBorder="1" applyAlignment="1" applyProtection="1"/>
    <xf numFmtId="174" fontId="12" fillId="0" borderId="91" xfId="1" applyNumberFormat="1" applyFont="1" applyFill="1" applyBorder="1" applyAlignment="1" applyProtection="1">
      <alignment horizontal="right"/>
    </xf>
    <xf numFmtId="174" fontId="0" fillId="0" borderId="89" xfId="1" applyNumberFormat="1" applyFont="1" applyBorder="1" applyAlignment="1" applyProtection="1">
      <alignment horizontal="right"/>
    </xf>
    <xf numFmtId="174" fontId="17" fillId="0" borderId="92" xfId="9" applyNumberFormat="1" applyFont="1" applyFill="1" applyBorder="1" applyAlignment="1" applyProtection="1">
      <alignment horizontal="right" vertical="center" wrapText="1"/>
    </xf>
    <xf numFmtId="3" fontId="26" fillId="0" borderId="4" xfId="0" applyNumberFormat="1" applyFont="1" applyBorder="1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3" fillId="0" borderId="111" xfId="0" applyNumberFormat="1" applyFont="1" applyFill="1" applyBorder="1" applyAlignment="1" applyProtection="1">
      <alignment horizontal="center" vertical="center" wrapText="1"/>
    </xf>
    <xf numFmtId="0" fontId="3" fillId="0" borderId="119" xfId="0" applyNumberFormat="1" applyFont="1" applyFill="1" applyBorder="1" applyAlignment="1" applyProtection="1">
      <alignment horizontal="center" vertical="center" wrapText="1"/>
    </xf>
    <xf numFmtId="0" fontId="3" fillId="0" borderId="112" xfId="0" applyNumberFormat="1" applyFont="1" applyFill="1" applyBorder="1" applyAlignment="1" applyProtection="1">
      <alignment horizontal="center" vertical="center"/>
    </xf>
    <xf numFmtId="0" fontId="3" fillId="0" borderId="112" xfId="0" applyNumberFormat="1" applyFont="1" applyFill="1" applyBorder="1" applyAlignment="1" applyProtection="1">
      <alignment horizontal="center" vertical="center" wrapText="1"/>
    </xf>
    <xf numFmtId="0" fontId="3" fillId="0" borderId="123" xfId="0" applyNumberFormat="1" applyFont="1" applyFill="1" applyBorder="1" applyAlignment="1" applyProtection="1">
      <alignment horizontal="center" vertical="center" wrapText="1"/>
    </xf>
    <xf numFmtId="0" fontId="3" fillId="0" borderId="117" xfId="0" applyNumberFormat="1" applyFont="1" applyFill="1" applyBorder="1" applyAlignment="1" applyProtection="1">
      <alignment horizontal="center" vertical="center" wrapText="1"/>
    </xf>
    <xf numFmtId="0" fontId="3" fillId="0" borderId="119" xfId="0" quotePrefix="1" applyNumberFormat="1" applyFont="1" applyFill="1" applyBorder="1" applyAlignment="1" applyProtection="1">
      <alignment horizontal="center" vertical="center" wrapText="1"/>
    </xf>
    <xf numFmtId="165" fontId="5" fillId="0" borderId="119" xfId="0" applyNumberFormat="1" applyFont="1" applyFill="1" applyBorder="1" applyAlignment="1" applyProtection="1">
      <alignment horizontal="right" vertical="center"/>
    </xf>
    <xf numFmtId="165" fontId="5" fillId="0" borderId="119" xfId="0" applyNumberFormat="1" applyFont="1" applyFill="1" applyBorder="1" applyAlignment="1" applyProtection="1">
      <alignment horizontal="right" vertical="center" wrapText="1"/>
    </xf>
    <xf numFmtId="165" fontId="5" fillId="0" borderId="115" xfId="0" applyNumberFormat="1" applyFont="1" applyFill="1" applyBorder="1" applyAlignment="1" applyProtection="1">
      <alignment horizontal="right" vertical="center" wrapText="1"/>
    </xf>
    <xf numFmtId="165" fontId="20" fillId="0" borderId="1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9" xfId="0" applyNumberFormat="1" applyFont="1" applyFill="1" applyBorder="1" applyAlignment="1" applyProtection="1">
      <alignment horizontal="left" vertical="center" wrapText="1"/>
    </xf>
    <xf numFmtId="165" fontId="6" fillId="0" borderId="119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28" xfId="0" applyNumberFormat="1" applyFont="1" applyFill="1" applyBorder="1" applyAlignment="1" applyProtection="1">
      <alignment horizontal="right" vertical="center" wrapText="1"/>
    </xf>
    <xf numFmtId="165" fontId="6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9" xfId="0" quotePrefix="1" applyNumberFormat="1" applyFont="1" applyFill="1" applyBorder="1" applyAlignment="1" applyProtection="1">
      <alignment horizontal="center" vertical="center" wrapText="1"/>
    </xf>
    <xf numFmtId="165" fontId="17" fillId="0" borderId="129" xfId="0" applyNumberFormat="1" applyFont="1" applyFill="1" applyBorder="1" applyAlignment="1" applyProtection="1">
      <alignment horizontal="right" vertical="center"/>
      <protection locked="0"/>
    </xf>
    <xf numFmtId="165" fontId="5" fillId="0" borderId="129" xfId="0" applyNumberFormat="1" applyFont="1" applyFill="1" applyBorder="1" applyAlignment="1" applyProtection="1">
      <alignment horizontal="right" vertical="center" wrapText="1"/>
    </xf>
    <xf numFmtId="165" fontId="17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3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3" fillId="0" borderId="33" xfId="10" applyFont="1" applyFill="1" applyBorder="1" applyAlignment="1" applyProtection="1">
      <alignment horizontal="center" vertical="center" wrapText="1"/>
    </xf>
    <xf numFmtId="165" fontId="5" fillId="0" borderId="25" xfId="9" applyNumberFormat="1" applyFont="1" applyFill="1" applyBorder="1" applyAlignment="1" applyProtection="1">
      <alignment horizontal="right" vertical="center" wrapText="1"/>
    </xf>
    <xf numFmtId="165" fontId="20" fillId="0" borderId="25" xfId="9" applyNumberFormat="1" applyFont="1" applyFill="1" applyBorder="1" applyAlignment="1" applyProtection="1">
      <alignment horizontal="right" vertical="center"/>
    </xf>
    <xf numFmtId="165" fontId="20" fillId="0" borderId="25" xfId="9" applyNumberFormat="1" applyFont="1" applyFill="1" applyBorder="1" applyAlignment="1" applyProtection="1">
      <alignment horizontal="right" vertical="center" wrapText="1"/>
    </xf>
    <xf numFmtId="165" fontId="20" fillId="0" borderId="29" xfId="9" applyNumberFormat="1" applyFont="1" applyFill="1" applyBorder="1" applyAlignment="1" applyProtection="1">
      <alignment horizontal="right" vertical="center"/>
    </xf>
    <xf numFmtId="165" fontId="20" fillId="0" borderId="25" xfId="9" applyNumberFormat="1" applyFont="1" applyFill="1" applyBorder="1" applyAlignment="1" applyProtection="1">
      <alignment horizontal="right" vertical="center"/>
      <protection locked="0"/>
    </xf>
    <xf numFmtId="165" fontId="20" fillId="0" borderId="26" xfId="9" applyNumberFormat="1" applyFont="1" applyFill="1" applyBorder="1" applyAlignment="1" applyProtection="1">
      <alignment horizontal="right" vertical="center"/>
      <protection locked="0"/>
    </xf>
    <xf numFmtId="165" fontId="5" fillId="0" borderId="134" xfId="9" applyNumberFormat="1" applyFont="1" applyFill="1" applyBorder="1" applyAlignment="1" applyProtection="1">
      <alignment horizontal="right" vertical="center" wrapText="1"/>
    </xf>
    <xf numFmtId="165" fontId="20" fillId="0" borderId="134" xfId="9" applyNumberFormat="1" applyFont="1" applyFill="1" applyBorder="1" applyAlignment="1" applyProtection="1">
      <alignment horizontal="right" vertical="center"/>
    </xf>
    <xf numFmtId="165" fontId="5" fillId="0" borderId="135" xfId="9" applyNumberFormat="1" applyFont="1" applyFill="1" applyBorder="1" applyAlignment="1" applyProtection="1">
      <alignment vertical="center" wrapText="1"/>
    </xf>
    <xf numFmtId="0" fontId="0" fillId="0" borderId="88" xfId="0" applyFill="1" applyBorder="1" applyAlignment="1">
      <alignment horizontal="center" vertical="center"/>
    </xf>
    <xf numFmtId="173" fontId="12" fillId="0" borderId="92" xfId="1" applyNumberFormat="1" applyFont="1" applyFill="1" applyBorder="1" applyAlignment="1" applyProtection="1"/>
    <xf numFmtId="173" fontId="0" fillId="0" borderId="23" xfId="1" applyNumberFormat="1" applyFont="1" applyFill="1" applyBorder="1" applyAlignment="1" applyProtection="1"/>
    <xf numFmtId="173" fontId="0" fillId="0" borderId="40" xfId="1" applyNumberFormat="1" applyFont="1" applyFill="1" applyBorder="1" applyAlignment="1" applyProtection="1"/>
    <xf numFmtId="173" fontId="0" fillId="0" borderId="89" xfId="1" applyNumberFormat="1" applyFont="1" applyFill="1" applyBorder="1" applyAlignment="1" applyProtection="1"/>
    <xf numFmtId="173" fontId="12" fillId="0" borderId="91" xfId="1" applyNumberFormat="1" applyFont="1" applyFill="1" applyBorder="1" applyAlignment="1" applyProtection="1"/>
    <xf numFmtId="173" fontId="12" fillId="0" borderId="87" xfId="1" applyNumberFormat="1" applyFont="1" applyFill="1" applyBorder="1" applyAlignment="1" applyProtection="1"/>
    <xf numFmtId="174" fontId="12" fillId="0" borderId="92" xfId="1" applyNumberFormat="1" applyFont="1" applyFill="1" applyBorder="1" applyAlignment="1" applyProtection="1"/>
    <xf numFmtId="174" fontId="0" fillId="0" borderId="23" xfId="1" applyNumberFormat="1" applyFont="1" applyFill="1" applyBorder="1" applyAlignment="1" applyProtection="1"/>
    <xf numFmtId="174" fontId="0" fillId="0" borderId="4" xfId="1" applyNumberFormat="1" applyFont="1" applyFill="1" applyBorder="1" applyAlignment="1" applyProtection="1"/>
    <xf numFmtId="174" fontId="0" fillId="0" borderId="89" xfId="1" applyNumberFormat="1" applyFont="1" applyFill="1" applyBorder="1" applyAlignment="1" applyProtection="1"/>
    <xf numFmtId="174" fontId="12" fillId="0" borderId="87" xfId="1" applyNumberFormat="1" applyFont="1" applyFill="1" applyBorder="1" applyAlignment="1" applyProtection="1"/>
    <xf numFmtId="174" fontId="12" fillId="0" borderId="92" xfId="1" applyNumberFormat="1" applyFont="1" applyFill="1" applyBorder="1" applyAlignment="1" applyProtection="1">
      <alignment horizontal="right"/>
    </xf>
    <xf numFmtId="174" fontId="0" fillId="0" borderId="23" xfId="1" applyNumberFormat="1" applyFont="1" applyFill="1" applyBorder="1" applyAlignment="1" applyProtection="1">
      <alignment horizontal="right"/>
    </xf>
    <xf numFmtId="174" fontId="0" fillId="0" borderId="89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Border="1" applyAlignment="1" applyProtection="1"/>
    <xf numFmtId="0" fontId="0" fillId="0" borderId="40" xfId="0" applyFill="1" applyBorder="1" applyAlignment="1">
      <alignment horizontal="center" vertical="center"/>
    </xf>
    <xf numFmtId="3" fontId="5" fillId="0" borderId="40" xfId="10" applyNumberFormat="1" applyFont="1" applyFill="1" applyBorder="1" applyAlignment="1" applyProtection="1">
      <alignment horizontal="right" vertical="center" wrapText="1"/>
    </xf>
    <xf numFmtId="3" fontId="26" fillId="0" borderId="40" xfId="0" applyNumberFormat="1" applyFont="1" applyFill="1" applyBorder="1"/>
    <xf numFmtId="165" fontId="26" fillId="0" borderId="40" xfId="0" applyNumberFormat="1" applyFont="1" applyFill="1" applyBorder="1"/>
    <xf numFmtId="0" fontId="1" fillId="0" borderId="0" xfId="10" applyBorder="1" applyProtection="1">
      <protection locked="0"/>
    </xf>
    <xf numFmtId="165" fontId="26" fillId="0" borderId="89" xfId="0" applyNumberFormat="1" applyFont="1" applyBorder="1"/>
    <xf numFmtId="165" fontId="26" fillId="0" borderId="89" xfId="0" applyNumberFormat="1" applyFont="1" applyFill="1" applyBorder="1"/>
    <xf numFmtId="0" fontId="3" fillId="0" borderId="40" xfId="10" applyFont="1" applyBorder="1" applyAlignment="1" applyProtection="1">
      <alignment horizontal="center" vertical="center" wrapText="1"/>
    </xf>
    <xf numFmtId="0" fontId="3" fillId="0" borderId="40" xfId="10" applyFont="1" applyFill="1" applyBorder="1" applyAlignment="1" applyProtection="1">
      <alignment horizontal="center" vertical="center" wrapText="1"/>
    </xf>
    <xf numFmtId="174" fontId="17" fillId="0" borderId="87" xfId="9" applyNumberFormat="1" applyFont="1" applyFill="1" applyBorder="1" applyAlignment="1" applyProtection="1">
      <alignment horizontal="right" vertical="center" wrapText="1"/>
    </xf>
    <xf numFmtId="0" fontId="3" fillId="0" borderId="40" xfId="9" quotePrefix="1" applyFont="1" applyFill="1" applyBorder="1" applyAlignment="1" applyProtection="1">
      <alignment horizontal="center" vertical="center" wrapText="1"/>
    </xf>
    <xf numFmtId="165" fontId="5" fillId="0" borderId="41" xfId="9" applyNumberFormat="1" applyFont="1" applyFill="1" applyBorder="1" applyAlignment="1" applyProtection="1">
      <alignment horizontal="right" vertical="center" wrapText="1"/>
    </xf>
    <xf numFmtId="165" fontId="20" fillId="0" borderId="41" xfId="9" applyNumberFormat="1" applyFont="1" applyFill="1" applyBorder="1" applyAlignment="1" applyProtection="1">
      <alignment horizontal="right" vertical="center"/>
    </xf>
    <xf numFmtId="0" fontId="3" fillId="0" borderId="40" xfId="9" applyFont="1" applyFill="1" applyBorder="1" applyAlignment="1" applyProtection="1">
      <alignment vertical="center" wrapText="1"/>
    </xf>
    <xf numFmtId="0" fontId="3" fillId="0" borderId="137" xfId="9" applyFont="1" applyFill="1" applyBorder="1" applyAlignment="1" applyProtection="1">
      <alignment vertical="center" wrapText="1"/>
    </xf>
    <xf numFmtId="0" fontId="3" fillId="0" borderId="141" xfId="9" applyFont="1" applyFill="1" applyBorder="1" applyAlignment="1" applyProtection="1">
      <alignment horizontal="center" vertical="center" wrapText="1"/>
    </xf>
    <xf numFmtId="165" fontId="20" fillId="0" borderId="142" xfId="9" applyNumberFormat="1" applyFont="1" applyFill="1" applyBorder="1" applyAlignment="1" applyProtection="1">
      <alignment horizontal="right" vertical="center"/>
    </xf>
    <xf numFmtId="165" fontId="20" fillId="0" borderId="143" xfId="9" applyNumberFormat="1" applyFont="1" applyFill="1" applyBorder="1" applyAlignment="1" applyProtection="1">
      <alignment horizontal="right" vertical="center"/>
    </xf>
    <xf numFmtId="0" fontId="3" fillId="0" borderId="147" xfId="9" applyFont="1" applyFill="1" applyBorder="1" applyAlignment="1" applyProtection="1">
      <alignment horizontal="center" vertical="center" wrapText="1"/>
    </xf>
    <xf numFmtId="165" fontId="20" fillId="0" borderId="148" xfId="9" applyNumberFormat="1" applyFont="1" applyFill="1" applyBorder="1" applyAlignment="1" applyProtection="1">
      <alignment horizontal="right" vertical="center"/>
    </xf>
    <xf numFmtId="165" fontId="20" fillId="0" borderId="149" xfId="9" applyNumberFormat="1" applyFont="1" applyFill="1" applyBorder="1" applyAlignment="1" applyProtection="1">
      <alignment horizontal="right" vertical="center"/>
    </xf>
    <xf numFmtId="165" fontId="20" fillId="0" borderId="148" xfId="9" applyNumberFormat="1" applyFont="1" applyFill="1" applyBorder="1" applyAlignment="1" applyProtection="1">
      <alignment vertical="center" wrapText="1"/>
    </xf>
    <xf numFmtId="165" fontId="20" fillId="0" borderId="149" xfId="9" applyNumberFormat="1" applyFont="1" applyFill="1" applyBorder="1" applyAlignment="1" applyProtection="1">
      <alignment vertical="center" wrapText="1"/>
    </xf>
    <xf numFmtId="165" fontId="20" fillId="0" borderId="148" xfId="9" applyNumberFormat="1" applyFont="1" applyFill="1" applyBorder="1" applyAlignment="1" applyProtection="1">
      <alignment vertical="center"/>
    </xf>
    <xf numFmtId="165" fontId="5" fillId="0" borderId="148" xfId="9" applyNumberFormat="1" applyFont="1" applyFill="1" applyBorder="1" applyAlignment="1" applyProtection="1">
      <alignment vertical="center" wrapText="1"/>
    </xf>
    <xf numFmtId="165" fontId="5" fillId="0" borderId="149" xfId="9" applyNumberFormat="1" applyFont="1" applyFill="1" applyBorder="1" applyAlignment="1" applyProtection="1">
      <alignment vertical="center" wrapText="1"/>
    </xf>
    <xf numFmtId="165" fontId="5" fillId="0" borderId="49" xfId="9" applyNumberFormat="1" applyFont="1" applyFill="1" applyBorder="1" applyAlignment="1" applyProtection="1">
      <alignment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160" xfId="0" applyFill="1" applyBorder="1" applyAlignment="1">
      <alignment horizontal="center" vertical="center"/>
    </xf>
    <xf numFmtId="0" fontId="3" fillId="0" borderId="87" xfId="10" applyFont="1" applyFill="1" applyBorder="1" applyAlignment="1" applyProtection="1">
      <alignment horizontal="center" vertical="center" wrapText="1"/>
    </xf>
    <xf numFmtId="0" fontId="3" fillId="0" borderId="92" xfId="10" applyFont="1" applyFill="1" applyBorder="1" applyAlignment="1" applyProtection="1">
      <alignment horizontal="center" vertical="center" wrapText="1"/>
    </xf>
    <xf numFmtId="0" fontId="3" fillId="0" borderId="167" xfId="10" applyFont="1" applyBorder="1" applyAlignment="1" applyProtection="1">
      <alignment horizontal="center" vertical="center" wrapText="1"/>
    </xf>
    <xf numFmtId="0" fontId="3" fillId="0" borderId="180" xfId="10" applyFont="1" applyBorder="1" applyAlignment="1" applyProtection="1">
      <alignment horizontal="center" vertical="center" wrapText="1"/>
    </xf>
    <xf numFmtId="0" fontId="3" fillId="0" borderId="172" xfId="10" applyFont="1" applyBorder="1" applyAlignment="1" applyProtection="1">
      <alignment horizontal="center" vertical="center"/>
    </xf>
    <xf numFmtId="0" fontId="3" fillId="0" borderId="172" xfId="10" applyFont="1" applyBorder="1" applyAlignment="1" applyProtection="1">
      <alignment horizontal="center" vertical="center" wrapText="1"/>
    </xf>
    <xf numFmtId="0" fontId="3" fillId="0" borderId="173" xfId="10" applyFont="1" applyBorder="1" applyAlignment="1" applyProtection="1">
      <alignment horizontal="center" vertical="center" wrapText="1"/>
    </xf>
    <xf numFmtId="0" fontId="3" fillId="0" borderId="168" xfId="10" applyFont="1" applyBorder="1" applyAlignment="1" applyProtection="1">
      <alignment horizontal="center" vertical="center" wrapText="1"/>
    </xf>
    <xf numFmtId="0" fontId="3" fillId="0" borderId="180" xfId="10" quotePrefix="1" applyFont="1" applyBorder="1" applyAlignment="1" applyProtection="1">
      <alignment horizontal="center" vertical="center" wrapText="1"/>
    </xf>
    <xf numFmtId="165" fontId="5" fillId="0" borderId="180" xfId="10" applyNumberFormat="1" applyFont="1" applyFill="1" applyBorder="1" applyAlignment="1" applyProtection="1">
      <alignment horizontal="right" vertical="center"/>
    </xf>
    <xf numFmtId="165" fontId="5" fillId="0" borderId="180" xfId="10" applyNumberFormat="1" applyFont="1" applyFill="1" applyBorder="1" applyAlignment="1" applyProtection="1">
      <alignment horizontal="right" vertical="center" wrapText="1"/>
    </xf>
    <xf numFmtId="165" fontId="5" fillId="0" borderId="175" xfId="10" applyNumberFormat="1" applyFont="1" applyFill="1" applyBorder="1" applyAlignment="1" applyProtection="1">
      <alignment horizontal="right" vertical="center" wrapText="1"/>
    </xf>
    <xf numFmtId="165" fontId="20" fillId="0" borderId="180" xfId="10" applyNumberFormat="1" applyFont="1" applyFill="1" applyBorder="1" applyAlignment="1" applyProtection="1">
      <alignment horizontal="right" vertical="center" wrapText="1"/>
      <protection locked="0"/>
    </xf>
    <xf numFmtId="0" fontId="3" fillId="0" borderId="180" xfId="10" applyFont="1" applyBorder="1" applyAlignment="1" applyProtection="1">
      <alignment horizontal="left" vertical="center" wrapText="1"/>
    </xf>
    <xf numFmtId="165" fontId="6" fillId="0" borderId="180" xfId="10" applyNumberFormat="1" applyFont="1" applyFill="1" applyBorder="1" applyAlignment="1" applyProtection="1">
      <alignment horizontal="right" vertical="center" wrapText="1"/>
      <protection locked="0"/>
    </xf>
    <xf numFmtId="165" fontId="20" fillId="0" borderId="180" xfId="10" applyNumberFormat="1" applyFont="1" applyFill="1" applyBorder="1" applyAlignment="1" applyProtection="1">
      <alignment horizontal="right" vertical="center" wrapText="1"/>
    </xf>
    <xf numFmtId="165" fontId="6" fillId="0" borderId="64" xfId="10" applyNumberFormat="1" applyFont="1" applyFill="1" applyBorder="1" applyAlignment="1" applyProtection="1">
      <alignment horizontal="right" vertical="center" wrapText="1"/>
    </xf>
    <xf numFmtId="165" fontId="6" fillId="0" borderId="175" xfId="10" applyNumberFormat="1" applyFont="1" applyFill="1" applyBorder="1" applyAlignment="1" applyProtection="1">
      <alignment horizontal="right" vertical="center" wrapText="1"/>
      <protection locked="0"/>
    </xf>
    <xf numFmtId="0" fontId="3" fillId="0" borderId="177" xfId="10" quotePrefix="1" applyFont="1" applyBorder="1" applyAlignment="1" applyProtection="1">
      <alignment horizontal="center" vertical="center" wrapText="1"/>
    </xf>
    <xf numFmtId="165" fontId="17" fillId="0" borderId="177" xfId="10" applyNumberFormat="1" applyFont="1" applyFill="1" applyBorder="1" applyAlignment="1" applyProtection="1">
      <alignment horizontal="right" vertical="center"/>
      <protection locked="0"/>
    </xf>
    <xf numFmtId="165" fontId="5" fillId="0" borderId="177" xfId="10" applyNumberFormat="1" applyFont="1" applyFill="1" applyBorder="1" applyAlignment="1" applyProtection="1">
      <alignment horizontal="right" vertical="center" wrapText="1"/>
    </xf>
    <xf numFmtId="165" fontId="17" fillId="0" borderId="177" xfId="10" applyNumberFormat="1" applyFont="1" applyFill="1" applyBorder="1" applyAlignment="1" applyProtection="1">
      <alignment horizontal="right" vertical="center" wrapText="1"/>
      <protection locked="0"/>
    </xf>
    <xf numFmtId="165" fontId="6" fillId="0" borderId="177" xfId="10" applyNumberFormat="1" applyFont="1" applyFill="1" applyBorder="1" applyAlignment="1" applyProtection="1">
      <alignment horizontal="right" vertical="center" wrapText="1"/>
      <protection locked="0"/>
    </xf>
    <xf numFmtId="165" fontId="6" fillId="0" borderId="178" xfId="1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0" applyFont="1" applyBorder="1" applyAlignment="1" applyProtection="1">
      <alignment horizontal="left" wrapText="1"/>
    </xf>
    <xf numFmtId="0" fontId="3" fillId="0" borderId="1" xfId="10" applyFont="1" applyBorder="1" applyAlignment="1" applyProtection="1">
      <alignment horizontal="center" vertical="center" wrapText="1"/>
    </xf>
    <xf numFmtId="0" fontId="4" fillId="0" borderId="5" xfId="10" applyFont="1" applyBorder="1" applyAlignment="1" applyProtection="1">
      <alignment horizontal="center" vertical="top" wrapText="1"/>
    </xf>
    <xf numFmtId="0" fontId="3" fillId="0" borderId="5" xfId="10" applyFont="1" applyBorder="1" applyAlignment="1" applyProtection="1">
      <alignment horizontal="left" vertical="center" wrapText="1"/>
    </xf>
    <xf numFmtId="0" fontId="3" fillId="0" borderId="4" xfId="10" applyFont="1" applyBorder="1" applyAlignment="1" applyProtection="1">
      <alignment horizontal="left" vertical="center" wrapText="1"/>
    </xf>
    <xf numFmtId="0" fontId="3" fillId="0" borderId="7" xfId="10" applyFont="1" applyBorder="1" applyAlignment="1" applyProtection="1">
      <alignment horizontal="left" vertical="center" wrapText="1"/>
    </xf>
    <xf numFmtId="0" fontId="3" fillId="0" borderId="4" xfId="10" applyFont="1" applyBorder="1" applyAlignment="1" applyProtection="1">
      <alignment horizontal="center" vertical="center" wrapText="1"/>
    </xf>
    <xf numFmtId="0" fontId="3" fillId="0" borderId="8" xfId="10" applyFont="1" applyBorder="1" applyAlignment="1" applyProtection="1">
      <alignment horizontal="left" vertical="center" wrapText="1"/>
    </xf>
    <xf numFmtId="0" fontId="3" fillId="0" borderId="10" xfId="10" applyFont="1" applyBorder="1" applyAlignment="1" applyProtection="1">
      <alignment horizontal="left" vertical="center" wrapText="1"/>
    </xf>
    <xf numFmtId="0" fontId="3" fillId="0" borderId="12" xfId="10" applyFont="1" applyBorder="1" applyAlignment="1" applyProtection="1">
      <alignment horizontal="left" vertical="center" wrapText="1"/>
    </xf>
    <xf numFmtId="0" fontId="3" fillId="0" borderId="7" xfId="10" applyFont="1" applyBorder="1" applyAlignment="1" applyProtection="1">
      <alignment horizontal="left" vertical="center" wrapText="1" indent="3"/>
    </xf>
    <xf numFmtId="0" fontId="3" fillId="0" borderId="15" xfId="10" applyFont="1" applyBorder="1" applyAlignment="1" applyProtection="1">
      <alignment horizontal="left" vertical="center" wrapText="1"/>
    </xf>
    <xf numFmtId="0" fontId="0" fillId="0" borderId="0" xfId="10" applyFont="1" applyBorder="1" applyAlignment="1" applyProtection="1">
      <alignment horizontal="center" wrapText="1"/>
      <protection locked="0"/>
    </xf>
    <xf numFmtId="0" fontId="9" fillId="0" borderId="0" xfId="10" applyFont="1" applyBorder="1" applyAlignment="1" applyProtection="1">
      <alignment horizontal="center"/>
      <protection locked="0"/>
    </xf>
    <xf numFmtId="0" fontId="3" fillId="0" borderId="17" xfId="10" applyFont="1" applyBorder="1" applyAlignment="1" applyProtection="1">
      <alignment horizontal="left" vertical="center" wrapText="1"/>
    </xf>
    <xf numFmtId="0" fontId="3" fillId="0" borderId="4" xfId="9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24" fillId="0" borderId="0" xfId="9" applyFont="1" applyAlignment="1" applyProtection="1">
      <alignment horizontal="left" wrapText="1"/>
    </xf>
    <xf numFmtId="0" fontId="1" fillId="0" borderId="0" xfId="9" applyAlignment="1" applyProtection="1">
      <alignment horizontal="left" vertical="center" wrapText="1"/>
    </xf>
    <xf numFmtId="0" fontId="5" fillId="0" borderId="0" xfId="9" applyFont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center" vertical="top" wrapText="1"/>
      <protection locked="0"/>
    </xf>
    <xf numFmtId="0" fontId="15" fillId="0" borderId="0" xfId="9" applyFont="1" applyAlignment="1" applyProtection="1">
      <alignment horizontal="center" vertical="center" wrapText="1"/>
    </xf>
    <xf numFmtId="0" fontId="2" fillId="0" borderId="0" xfId="9" applyFont="1" applyAlignment="1" applyProtection="1">
      <alignment horizontal="left" vertical="center"/>
    </xf>
    <xf numFmtId="0" fontId="18" fillId="0" borderId="157" xfId="9" applyFont="1" applyBorder="1" applyAlignment="1" applyProtection="1">
      <alignment horizontal="center" vertical="center" wrapText="1"/>
    </xf>
    <xf numFmtId="0" fontId="18" fillId="0" borderId="158" xfId="9" applyFont="1" applyBorder="1" applyAlignment="1" applyProtection="1">
      <alignment horizontal="center" vertical="center" wrapText="1"/>
    </xf>
    <xf numFmtId="0" fontId="4" fillId="0" borderId="156" xfId="9" applyFont="1" applyBorder="1" applyAlignment="1" applyProtection="1">
      <alignment horizontal="center" wrapText="1"/>
    </xf>
    <xf numFmtId="0" fontId="4" fillId="0" borderId="133" xfId="9" applyFont="1" applyBorder="1" applyAlignment="1" applyProtection="1">
      <alignment horizontal="center" wrapText="1"/>
    </xf>
    <xf numFmtId="0" fontId="4" fillId="0" borderId="11" xfId="9" applyFont="1" applyBorder="1" applyAlignment="1" applyProtection="1">
      <alignment horizontal="center" wrapText="1"/>
    </xf>
    <xf numFmtId="0" fontId="16" fillId="0" borderId="15" xfId="9" applyFont="1" applyFill="1" applyBorder="1" applyAlignment="1" applyProtection="1">
      <alignment horizontal="left" vertical="center" wrapText="1"/>
    </xf>
    <xf numFmtId="0" fontId="16" fillId="0" borderId="32" xfId="9" applyFont="1" applyFill="1" applyBorder="1" applyAlignment="1" applyProtection="1">
      <alignment horizontal="left" vertical="center" wrapText="1"/>
    </xf>
    <xf numFmtId="0" fontId="16" fillId="0" borderId="9" xfId="9" applyFont="1" applyFill="1" applyBorder="1" applyAlignment="1" applyProtection="1">
      <alignment horizontal="left" vertical="center" wrapText="1"/>
    </xf>
    <xf numFmtId="0" fontId="2" fillId="0" borderId="15" xfId="9" applyFont="1" applyFill="1" applyBorder="1" applyAlignment="1" applyProtection="1">
      <alignment horizontal="left" vertical="center" wrapText="1"/>
    </xf>
    <xf numFmtId="0" fontId="2" fillId="0" borderId="32" xfId="9" applyFont="1" applyFill="1" applyBorder="1" applyAlignment="1" applyProtection="1">
      <alignment horizontal="left" vertical="center" wrapText="1"/>
    </xf>
    <xf numFmtId="0" fontId="2" fillId="0" borderId="9" xfId="9" applyFont="1" applyFill="1" applyBorder="1" applyAlignment="1" applyProtection="1">
      <alignment horizontal="left" vertical="center" wrapText="1"/>
    </xf>
    <xf numFmtId="0" fontId="3" fillId="0" borderId="15" xfId="9" applyFont="1" applyFill="1" applyBorder="1" applyAlignment="1" applyProtection="1">
      <alignment horizontal="left" vertical="center" wrapText="1"/>
    </xf>
    <xf numFmtId="0" fontId="3" fillId="0" borderId="32" xfId="9" applyFont="1" applyFill="1" applyBorder="1" applyAlignment="1" applyProtection="1">
      <alignment horizontal="left" vertical="center" wrapText="1"/>
    </xf>
    <xf numFmtId="0" fontId="3" fillId="0" borderId="9" xfId="9" applyFont="1" applyFill="1" applyBorder="1" applyAlignment="1" applyProtection="1">
      <alignment horizontal="left" vertical="center" wrapText="1"/>
    </xf>
    <xf numFmtId="0" fontId="3" fillId="0" borderId="5" xfId="9" applyFont="1" applyFill="1" applyBorder="1" applyAlignment="1" applyProtection="1">
      <alignment horizontal="left" vertical="center" wrapText="1"/>
    </xf>
    <xf numFmtId="0" fontId="3" fillId="0" borderId="4" xfId="9" applyFont="1" applyFill="1" applyBorder="1" applyAlignment="1" applyProtection="1">
      <alignment horizontal="left" vertical="center" wrapText="1"/>
    </xf>
    <xf numFmtId="0" fontId="3" fillId="0" borderId="5" xfId="9" applyFont="1" applyFill="1" applyBorder="1" applyAlignment="1" applyProtection="1">
      <alignment horizontal="left" vertical="center" wrapText="1" indent="3"/>
    </xf>
    <xf numFmtId="0" fontId="3" fillId="0" borderId="4" xfId="9" applyFont="1" applyFill="1" applyBorder="1" applyAlignment="1" applyProtection="1">
      <alignment horizontal="left" vertical="center" wrapText="1" indent="3"/>
    </xf>
    <xf numFmtId="0" fontId="3" fillId="0" borderId="15" xfId="9" applyFont="1" applyBorder="1" applyAlignment="1" applyProtection="1">
      <alignment horizontal="left" vertical="center" wrapText="1"/>
      <protection locked="0"/>
    </xf>
    <xf numFmtId="0" fontId="3" fillId="0" borderId="32" xfId="9" applyFont="1" applyBorder="1" applyAlignment="1" applyProtection="1">
      <alignment horizontal="left" vertical="center" wrapText="1"/>
      <protection locked="0"/>
    </xf>
    <xf numFmtId="0" fontId="3" fillId="0" borderId="9" xfId="9" applyFont="1" applyBorder="1" applyAlignment="1" applyProtection="1">
      <alignment horizontal="left" vertical="center" wrapText="1"/>
      <protection locked="0"/>
    </xf>
    <xf numFmtId="0" fontId="2" fillId="0" borderId="15" xfId="9" applyFont="1" applyFill="1" applyBorder="1" applyAlignment="1" applyProtection="1">
      <alignment vertical="center" wrapText="1"/>
    </xf>
    <xf numFmtId="0" fontId="2" fillId="0" borderId="32" xfId="9" applyFont="1" applyFill="1" applyBorder="1" applyAlignment="1" applyProtection="1">
      <alignment vertical="center" wrapText="1"/>
    </xf>
    <xf numFmtId="0" fontId="2" fillId="0" borderId="9" xfId="9" applyFont="1" applyFill="1" applyBorder="1" applyAlignment="1" applyProtection="1">
      <alignment vertical="center" wrapText="1"/>
    </xf>
    <xf numFmtId="0" fontId="3" fillId="0" borderId="15" xfId="9" applyFont="1" applyFill="1" applyBorder="1" applyAlignment="1" applyProtection="1">
      <alignment vertical="center" wrapText="1"/>
    </xf>
    <xf numFmtId="0" fontId="3" fillId="0" borderId="32" xfId="9" applyFont="1" applyFill="1" applyBorder="1" applyAlignment="1" applyProtection="1">
      <alignment vertical="center" wrapText="1"/>
    </xf>
    <xf numFmtId="0" fontId="3" fillId="0" borderId="9" xfId="9" applyFont="1" applyFill="1" applyBorder="1" applyAlignment="1" applyProtection="1">
      <alignment vertical="center" wrapText="1"/>
    </xf>
    <xf numFmtId="0" fontId="3" fillId="0" borderId="34" xfId="9" applyFont="1" applyFill="1" applyBorder="1" applyAlignment="1" applyProtection="1">
      <alignment vertical="center" wrapText="1"/>
    </xf>
    <xf numFmtId="0" fontId="3" fillId="0" borderId="35" xfId="9" applyFont="1" applyFill="1" applyBorder="1" applyAlignment="1" applyProtection="1">
      <alignment vertical="center" wrapText="1"/>
    </xf>
    <xf numFmtId="0" fontId="3" fillId="0" borderId="8" xfId="9" applyFont="1" applyFill="1" applyBorder="1" applyAlignment="1" applyProtection="1">
      <alignment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22" xfId="9" applyFont="1" applyFill="1" applyBorder="1" applyAlignment="1" applyProtection="1">
      <alignment horizontal="center" vertical="center" wrapText="1"/>
    </xf>
    <xf numFmtId="0" fontId="3" fillId="0" borderId="19" xfId="9" applyFont="1" applyFill="1" applyBorder="1" applyAlignment="1" applyProtection="1">
      <alignment horizontal="left" vertical="center" wrapText="1" indent="2"/>
    </xf>
    <xf numFmtId="0" fontId="3" fillId="0" borderId="36" xfId="9" applyFont="1" applyFill="1" applyBorder="1" applyAlignment="1" applyProtection="1">
      <alignment horizontal="left" vertical="center" wrapText="1" indent="2"/>
    </xf>
    <xf numFmtId="0" fontId="2" fillId="0" borderId="0" xfId="9" applyFont="1" applyFill="1" applyBorder="1" applyAlignment="1" applyProtection="1">
      <alignment horizontal="left" wrapText="1"/>
    </xf>
    <xf numFmtId="0" fontId="18" fillId="0" borderId="159" xfId="9" applyFont="1" applyBorder="1" applyAlignment="1" applyProtection="1">
      <alignment horizontal="center" vertical="center" wrapText="1"/>
    </xf>
    <xf numFmtId="0" fontId="16" fillId="0" borderId="44" xfId="9" applyFont="1" applyFill="1" applyBorder="1" applyAlignment="1" applyProtection="1">
      <alignment horizontal="left" vertical="center" wrapText="1"/>
    </xf>
    <xf numFmtId="0" fontId="16" fillId="0" borderId="136" xfId="9" applyFont="1" applyFill="1" applyBorder="1" applyAlignment="1" applyProtection="1">
      <alignment horizontal="left" vertical="center" wrapText="1"/>
    </xf>
    <xf numFmtId="0" fontId="16" fillId="0" borderId="137" xfId="9" applyFont="1" applyFill="1" applyBorder="1" applyAlignment="1" applyProtection="1">
      <alignment horizontal="left" vertical="center" wrapText="1"/>
    </xf>
    <xf numFmtId="0" fontId="2" fillId="0" borderId="44" xfId="9" applyFont="1" applyFill="1" applyBorder="1" applyAlignment="1" applyProtection="1">
      <alignment horizontal="left" vertical="center" wrapText="1"/>
    </xf>
    <xf numFmtId="0" fontId="2" fillId="0" borderId="136" xfId="9" applyFont="1" applyFill="1" applyBorder="1" applyAlignment="1" applyProtection="1">
      <alignment horizontal="left" vertical="center" wrapText="1"/>
    </xf>
    <xf numFmtId="0" fontId="2" fillId="0" borderId="137" xfId="9" applyFont="1" applyFill="1" applyBorder="1" applyAlignment="1" applyProtection="1">
      <alignment horizontal="left" vertical="center" wrapText="1"/>
    </xf>
    <xf numFmtId="0" fontId="3" fillId="0" borderId="44" xfId="9" applyFont="1" applyFill="1" applyBorder="1" applyAlignment="1" applyProtection="1">
      <alignment vertical="center" wrapText="1"/>
    </xf>
    <xf numFmtId="0" fontId="3" fillId="0" borderId="136" xfId="9" applyFont="1" applyFill="1" applyBorder="1" applyAlignment="1" applyProtection="1">
      <alignment vertical="center" wrapText="1"/>
    </xf>
    <xf numFmtId="0" fontId="3" fillId="0" borderId="137" xfId="9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left" vertical="center" wrapText="1" indent="2"/>
    </xf>
    <xf numFmtId="0" fontId="3" fillId="0" borderId="136" xfId="0" applyFont="1" applyFill="1" applyBorder="1" applyAlignment="1" applyProtection="1">
      <alignment horizontal="left" vertical="center" wrapText="1" indent="2"/>
    </xf>
    <xf numFmtId="0" fontId="3" fillId="0" borderId="137" xfId="0" applyFont="1" applyFill="1" applyBorder="1" applyAlignment="1" applyProtection="1">
      <alignment horizontal="left" vertical="center" wrapText="1" indent="2"/>
    </xf>
    <xf numFmtId="0" fontId="3" fillId="0" borderId="138" xfId="9" applyFont="1" applyFill="1" applyBorder="1" applyAlignment="1" applyProtection="1">
      <alignment horizontal="center" vertical="center"/>
    </xf>
    <xf numFmtId="0" fontId="3" fillId="0" borderId="37" xfId="9" applyFont="1" applyFill="1" applyBorder="1" applyAlignment="1" applyProtection="1">
      <alignment horizontal="center" vertical="center"/>
    </xf>
    <xf numFmtId="0" fontId="3" fillId="0" borderId="86" xfId="9" applyFont="1" applyFill="1" applyBorder="1" applyAlignment="1" applyProtection="1">
      <alignment vertical="center" wrapText="1"/>
    </xf>
    <xf numFmtId="0" fontId="3" fillId="0" borderId="139" xfId="10" applyFont="1" applyFill="1" applyBorder="1" applyAlignment="1" applyProtection="1">
      <alignment horizontal="left" vertical="center" wrapText="1" indent="2"/>
    </xf>
    <xf numFmtId="0" fontId="3" fillId="0" borderId="140" xfId="10" applyFont="1" applyFill="1" applyBorder="1" applyAlignment="1" applyProtection="1">
      <alignment horizontal="left" vertical="center" wrapText="1" indent="2"/>
    </xf>
    <xf numFmtId="0" fontId="3" fillId="0" borderId="144" xfId="9" applyFont="1" applyFill="1" applyBorder="1" applyAlignment="1" applyProtection="1">
      <alignment vertical="center" wrapText="1"/>
    </xf>
    <xf numFmtId="0" fontId="3" fillId="0" borderId="145" xfId="9" applyFont="1" applyFill="1" applyBorder="1" applyAlignment="1" applyProtection="1">
      <alignment vertical="center" wrapText="1"/>
    </xf>
    <xf numFmtId="0" fontId="3" fillId="0" borderId="146" xfId="9" applyFont="1" applyFill="1" applyBorder="1" applyAlignment="1" applyProtection="1">
      <alignment vertical="center" wrapText="1"/>
    </xf>
    <xf numFmtId="0" fontId="3" fillId="0" borderId="150" xfId="9" applyFont="1" applyFill="1" applyBorder="1" applyAlignment="1" applyProtection="1">
      <alignment horizontal="center" vertical="center"/>
    </xf>
    <xf numFmtId="0" fontId="3" fillId="0" borderId="75" xfId="9" applyFont="1" applyFill="1" applyBorder="1" applyAlignment="1" applyProtection="1">
      <alignment horizontal="center" vertical="center"/>
    </xf>
    <xf numFmtId="0" fontId="3" fillId="0" borderId="151" xfId="9" applyFont="1" applyFill="1" applyBorder="1" applyAlignment="1" applyProtection="1">
      <alignment horizontal="left" vertical="center" wrapText="1"/>
    </xf>
    <xf numFmtId="0" fontId="3" fillId="0" borderId="152" xfId="9" applyFont="1" applyFill="1" applyBorder="1" applyAlignment="1" applyProtection="1">
      <alignment horizontal="left" vertical="center" wrapText="1"/>
    </xf>
    <xf numFmtId="0" fontId="3" fillId="0" borderId="147" xfId="9" applyFont="1" applyFill="1" applyBorder="1" applyAlignment="1" applyProtection="1">
      <alignment horizontal="left" vertical="center" wrapText="1"/>
    </xf>
    <xf numFmtId="0" fontId="2" fillId="0" borderId="153" xfId="9" applyFont="1" applyFill="1" applyBorder="1" applyAlignment="1" applyProtection="1">
      <alignment horizontal="left" vertical="center" wrapText="1" indent="2"/>
    </xf>
    <xf numFmtId="0" fontId="2" fillId="0" borderId="154" xfId="9" applyFont="1" applyFill="1" applyBorder="1" applyAlignment="1" applyProtection="1">
      <alignment horizontal="left" vertical="center" wrapText="1" indent="2"/>
    </xf>
    <xf numFmtId="0" fontId="2" fillId="0" borderId="152" xfId="9" applyFont="1" applyFill="1" applyBorder="1" applyAlignment="1" applyProtection="1">
      <alignment horizontal="left" vertical="center" wrapText="1" indent="2"/>
    </xf>
    <xf numFmtId="0" fontId="3" fillId="0" borderId="153" xfId="9" applyFont="1" applyFill="1" applyBorder="1" applyAlignment="1" applyProtection="1">
      <alignment vertical="center" wrapText="1"/>
    </xf>
    <xf numFmtId="0" fontId="3" fillId="0" borderId="154" xfId="9" applyFont="1" applyFill="1" applyBorder="1" applyAlignment="1" applyProtection="1">
      <alignment vertical="center" wrapText="1"/>
    </xf>
    <xf numFmtId="0" fontId="3" fillId="0" borderId="152" xfId="9" applyFont="1" applyFill="1" applyBorder="1" applyAlignment="1" applyProtection="1">
      <alignment vertical="center" wrapText="1"/>
    </xf>
    <xf numFmtId="0" fontId="3" fillId="0" borderId="155" xfId="9" applyFont="1" applyFill="1" applyBorder="1" applyAlignment="1" applyProtection="1">
      <alignment horizontal="center" vertical="center" wrapText="1"/>
    </xf>
    <xf numFmtId="0" fontId="16" fillId="0" borderId="153" xfId="9" applyFont="1" applyFill="1" applyBorder="1" applyAlignment="1" applyProtection="1">
      <alignment vertical="center" wrapText="1"/>
    </xf>
    <xf numFmtId="0" fontId="16" fillId="0" borderId="154" xfId="9" applyFont="1" applyFill="1" applyBorder="1" applyAlignment="1" applyProtection="1">
      <alignment vertical="center" wrapText="1"/>
    </xf>
    <xf numFmtId="0" fontId="16" fillId="0" borderId="152" xfId="9" applyFont="1" applyFill="1" applyBorder="1" applyAlignment="1" applyProtection="1">
      <alignment vertical="center" wrapText="1"/>
    </xf>
    <xf numFmtId="0" fontId="19" fillId="0" borderId="153" xfId="9" applyFont="1" applyFill="1" applyBorder="1" applyAlignment="1" applyProtection="1">
      <alignment vertical="center" wrapText="1"/>
    </xf>
    <xf numFmtId="0" fontId="19" fillId="0" borderId="154" xfId="9" applyFont="1" applyFill="1" applyBorder="1" applyAlignment="1" applyProtection="1">
      <alignment vertical="center" wrapText="1"/>
    </xf>
    <xf numFmtId="0" fontId="19" fillId="0" borderId="152" xfId="9" applyFont="1" applyFill="1" applyBorder="1" applyAlignment="1" applyProtection="1">
      <alignment vertical="center" wrapText="1"/>
    </xf>
    <xf numFmtId="0" fontId="16" fillId="0" borderId="46" xfId="9" applyFont="1" applyFill="1" applyBorder="1" applyAlignment="1" applyProtection="1">
      <alignment vertical="center" wrapText="1"/>
    </xf>
    <xf numFmtId="0" fontId="16" fillId="0" borderId="47" xfId="9" applyFont="1" applyFill="1" applyBorder="1" applyAlignment="1" applyProtection="1">
      <alignment vertical="center" wrapText="1"/>
    </xf>
    <xf numFmtId="0" fontId="16" fillId="0" borderId="48" xfId="9" applyFont="1" applyFill="1" applyBorder="1" applyAlignment="1" applyProtection="1">
      <alignment vertical="center" wrapText="1"/>
    </xf>
    <xf numFmtId="0" fontId="3" fillId="0" borderId="153" xfId="9" applyFont="1" applyFill="1" applyBorder="1" applyAlignment="1" applyProtection="1">
      <alignment horizontal="left" vertical="center" wrapText="1" indent="1"/>
    </xf>
    <xf numFmtId="0" fontId="3" fillId="0" borderId="154" xfId="9" applyFont="1" applyFill="1" applyBorder="1" applyAlignment="1" applyProtection="1">
      <alignment horizontal="left" vertical="center" wrapText="1" indent="1"/>
    </xf>
    <xf numFmtId="0" fontId="3" fillId="0" borderId="152" xfId="9" applyFont="1" applyFill="1" applyBorder="1" applyAlignment="1" applyProtection="1">
      <alignment horizontal="left" vertical="center" wrapText="1" indent="1"/>
    </xf>
    <xf numFmtId="0" fontId="2" fillId="0" borderId="0" xfId="9" applyFont="1" applyBorder="1" applyAlignment="1" applyProtection="1">
      <alignment horizontal="left" wrapText="1"/>
    </xf>
    <xf numFmtId="0" fontId="3" fillId="0" borderId="27" xfId="10" applyFont="1" applyBorder="1" applyAlignment="1" applyProtection="1">
      <alignment horizontal="center" vertical="center" wrapText="1"/>
    </xf>
    <xf numFmtId="0" fontId="4" fillId="0" borderId="15" xfId="10" applyFont="1" applyBorder="1" applyAlignment="1" applyProtection="1">
      <alignment horizontal="center" vertical="center" wrapText="1"/>
    </xf>
    <xf numFmtId="0" fontId="2" fillId="0" borderId="5" xfId="10" applyFont="1" applyBorder="1" applyAlignment="1" applyProtection="1">
      <alignment vertical="center" wrapText="1"/>
    </xf>
    <xf numFmtId="0" fontId="3" fillId="0" borderId="5" xfId="10" applyFont="1" applyBorder="1" applyAlignment="1" applyProtection="1">
      <alignment horizontal="left" vertical="center" wrapText="1" indent="3"/>
    </xf>
    <xf numFmtId="0" fontId="3" fillId="0" borderId="12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vertical="center" wrapText="1"/>
    </xf>
    <xf numFmtId="0" fontId="3" fillId="0" borderId="4" xfId="10" applyFont="1" applyBorder="1" applyAlignment="1" applyProtection="1">
      <alignment horizontal="left" vertical="center" wrapText="1" indent="3"/>
    </xf>
    <xf numFmtId="0" fontId="3" fillId="0" borderId="9" xfId="10" applyFont="1" applyBorder="1" applyAlignment="1" applyProtection="1">
      <alignment horizontal="left" vertical="center" wrapText="1"/>
    </xf>
    <xf numFmtId="0" fontId="3" fillId="0" borderId="22" xfId="10" applyFont="1" applyBorder="1" applyAlignment="1" applyProtection="1">
      <alignment horizontal="left" vertical="center" wrapText="1" indent="3"/>
    </xf>
    <xf numFmtId="0" fontId="3" fillId="0" borderId="5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horizontal="center" vertical="center" wrapText="1"/>
    </xf>
    <xf numFmtId="0" fontId="3" fillId="0" borderId="21" xfId="9" applyFont="1" applyBorder="1" applyAlignment="1" applyProtection="1">
      <alignment horizontal="center" vertical="center" wrapText="1"/>
    </xf>
    <xf numFmtId="0" fontId="3" fillId="0" borderId="65" xfId="9" applyFont="1" applyBorder="1" applyAlignment="1" applyProtection="1">
      <alignment horizontal="center" vertical="center" wrapText="1"/>
    </xf>
    <xf numFmtId="0" fontId="3" fillId="0" borderId="66" xfId="9" applyFont="1" applyBorder="1" applyAlignment="1" applyProtection="1">
      <alignment horizontal="center" vertical="center" wrapText="1"/>
    </xf>
    <xf numFmtId="0" fontId="4" fillId="0" borderId="45" xfId="9" applyFont="1" applyBorder="1" applyAlignment="1" applyProtection="1">
      <alignment horizontal="center" vertical="center" wrapText="1"/>
    </xf>
    <xf numFmtId="0" fontId="4" fillId="0" borderId="4" xfId="9" applyFont="1" applyBorder="1" applyAlignment="1" applyProtection="1">
      <alignment horizontal="center" vertical="center" wrapText="1"/>
    </xf>
    <xf numFmtId="0" fontId="2" fillId="0" borderId="67" xfId="9" applyFont="1" applyFill="1" applyBorder="1" applyAlignment="1" applyProtection="1">
      <alignment horizontal="center" vertical="center" textRotation="90" wrapText="1"/>
    </xf>
    <xf numFmtId="0" fontId="2" fillId="0" borderId="45" xfId="9" applyFont="1" applyFill="1" applyBorder="1" applyAlignment="1" applyProtection="1">
      <alignment horizontal="center" vertical="center" textRotation="90" wrapText="1"/>
    </xf>
    <xf numFmtId="0" fontId="2" fillId="0" borderId="73" xfId="9" applyFont="1" applyFill="1" applyBorder="1" applyAlignment="1" applyProtection="1">
      <alignment horizontal="center" vertical="center" textRotation="90" wrapText="1"/>
    </xf>
    <xf numFmtId="0" fontId="2" fillId="0" borderId="68" xfId="9" applyFont="1" applyFill="1" applyBorder="1" applyAlignment="1" applyProtection="1">
      <alignment vertical="center" wrapText="1"/>
    </xf>
    <xf numFmtId="0" fontId="2" fillId="0" borderId="69" xfId="9" applyFont="1" applyFill="1" applyBorder="1" applyAlignment="1" applyProtection="1">
      <alignment vertical="center" wrapText="1"/>
    </xf>
    <xf numFmtId="0" fontId="2" fillId="0" borderId="70" xfId="9" applyFont="1" applyFill="1" applyBorder="1" applyAlignment="1" applyProtection="1">
      <alignment vertical="center" wrapText="1"/>
    </xf>
    <xf numFmtId="0" fontId="3" fillId="0" borderId="6" xfId="9" applyFont="1" applyFill="1" applyBorder="1" applyAlignment="1" applyProtection="1">
      <alignment vertical="center" wrapText="1"/>
    </xf>
    <xf numFmtId="0" fontId="3" fillId="0" borderId="13" xfId="9" applyFont="1" applyFill="1" applyBorder="1" applyAlignment="1" applyProtection="1">
      <alignment horizontal="left" vertical="center" wrapText="1"/>
    </xf>
    <xf numFmtId="0" fontId="3" fillId="0" borderId="16" xfId="9" applyFont="1" applyFill="1" applyBorder="1" applyAlignment="1" applyProtection="1">
      <alignment horizontal="left" vertical="center" wrapText="1"/>
    </xf>
    <xf numFmtId="0" fontId="3" fillId="0" borderId="72" xfId="9" applyFont="1" applyFill="1" applyBorder="1" applyAlignment="1" applyProtection="1">
      <alignment horizontal="left" vertical="center" wrapText="1"/>
    </xf>
    <xf numFmtId="0" fontId="3" fillId="0" borderId="4" xfId="9" applyFont="1" applyFill="1" applyBorder="1" applyAlignment="1" applyProtection="1">
      <alignment vertical="center" wrapText="1"/>
    </xf>
    <xf numFmtId="0" fontId="2" fillId="0" borderId="74" xfId="9" applyFont="1" applyFill="1" applyBorder="1" applyAlignment="1" applyProtection="1">
      <alignment vertical="center" wrapText="1"/>
    </xf>
    <xf numFmtId="0" fontId="28" fillId="0" borderId="28" xfId="9" applyFont="1" applyFill="1" applyBorder="1" applyAlignment="1" applyProtection="1">
      <alignment horizontal="center" vertical="center" textRotation="90" wrapText="1"/>
    </xf>
    <xf numFmtId="0" fontId="1" fillId="0" borderId="37" xfId="9" applyFont="1" applyFill="1" applyBorder="1" applyProtection="1"/>
    <xf numFmtId="0" fontId="1" fillId="0" borderId="30" xfId="9" applyFont="1" applyFill="1" applyBorder="1" applyProtection="1"/>
    <xf numFmtId="0" fontId="2" fillId="0" borderId="71" xfId="9" applyFont="1" applyFill="1" applyBorder="1" applyAlignment="1" applyProtection="1">
      <alignment vertical="center" wrapText="1"/>
    </xf>
    <xf numFmtId="0" fontId="2" fillId="0" borderId="31" xfId="10" applyFont="1" applyFill="1" applyBorder="1" applyAlignment="1" applyProtection="1">
      <alignment horizontal="center" vertical="center"/>
    </xf>
    <xf numFmtId="0" fontId="3" fillId="0" borderId="6" xfId="9" applyFont="1" applyFill="1" applyBorder="1" applyAlignment="1" applyProtection="1">
      <alignment horizontal="left" vertical="center" wrapText="1" indent="2"/>
    </xf>
    <xf numFmtId="0" fontId="3" fillId="0" borderId="32" xfId="9" applyFont="1" applyFill="1" applyBorder="1" applyAlignment="1" applyProtection="1">
      <alignment horizontal="left" vertical="center" wrapText="1" indent="2"/>
    </xf>
    <xf numFmtId="0" fontId="3" fillId="0" borderId="9" xfId="9" applyFont="1" applyFill="1" applyBorder="1" applyAlignment="1" applyProtection="1">
      <alignment horizontal="left" vertical="center" wrapText="1" indent="2"/>
    </xf>
    <xf numFmtId="0" fontId="29" fillId="0" borderId="67" xfId="9" applyFont="1" applyFill="1" applyBorder="1" applyAlignment="1" applyProtection="1">
      <alignment horizontal="center" vertical="center" textRotation="90" wrapText="1"/>
    </xf>
    <xf numFmtId="0" fontId="29" fillId="0" borderId="45" xfId="9" applyFont="1" applyFill="1" applyBorder="1" applyAlignment="1" applyProtection="1">
      <alignment horizontal="center" vertical="center" textRotation="90" wrapText="1"/>
    </xf>
    <xf numFmtId="0" fontId="29" fillId="0" borderId="73" xfId="9" applyFont="1" applyFill="1" applyBorder="1" applyAlignment="1" applyProtection="1">
      <alignment horizontal="center" vertical="center" textRotation="90" wrapText="1"/>
    </xf>
    <xf numFmtId="0" fontId="29" fillId="0" borderId="75" xfId="9" applyFont="1" applyFill="1" applyBorder="1" applyAlignment="1" applyProtection="1">
      <alignment horizontal="center" vertical="center" textRotation="90" wrapText="1"/>
    </xf>
    <xf numFmtId="0" fontId="29" fillId="0" borderId="7" xfId="9" applyFont="1" applyFill="1" applyBorder="1" applyAlignment="1" applyProtection="1">
      <alignment horizontal="center" vertical="center" textRotation="90" wrapText="1"/>
    </xf>
    <xf numFmtId="0" fontId="2" fillId="0" borderId="72" xfId="9" applyFont="1" applyFill="1" applyBorder="1" applyAlignment="1" applyProtection="1">
      <alignment vertical="center" wrapText="1"/>
    </xf>
    <xf numFmtId="0" fontId="28" fillId="0" borderId="67" xfId="9" applyFont="1" applyFill="1" applyBorder="1" applyAlignment="1" applyProtection="1">
      <alignment horizontal="center" vertical="center" textRotation="90" wrapText="1"/>
      <protection locked="0"/>
    </xf>
    <xf numFmtId="0" fontId="28" fillId="0" borderId="45" xfId="9" applyFont="1" applyFill="1" applyBorder="1" applyAlignment="1" applyProtection="1">
      <alignment horizontal="center" vertical="center" textRotation="90" wrapText="1"/>
      <protection locked="0"/>
    </xf>
    <xf numFmtId="0" fontId="28" fillId="0" borderId="73" xfId="9" applyFont="1" applyFill="1" applyBorder="1" applyAlignment="1" applyProtection="1">
      <alignment horizontal="center" vertical="center" textRotation="90" wrapText="1"/>
      <protection locked="0"/>
    </xf>
    <xf numFmtId="0" fontId="3" fillId="0" borderId="53" xfId="10" applyFont="1" applyFill="1" applyBorder="1" applyAlignment="1" applyProtection="1">
      <alignment horizontal="center" vertical="center" wrapText="1"/>
    </xf>
    <xf numFmtId="0" fontId="3" fillId="0" borderId="165" xfId="10" applyFont="1" applyFill="1" applyBorder="1" applyAlignment="1" applyProtection="1">
      <alignment horizontal="center" vertical="center" wrapText="1"/>
    </xf>
    <xf numFmtId="0" fontId="3" fillId="0" borderId="54" xfId="10" applyFont="1" applyFill="1" applyBorder="1" applyAlignment="1" applyProtection="1">
      <alignment horizontal="center" vertical="center" wrapText="1"/>
    </xf>
    <xf numFmtId="0" fontId="3" fillId="0" borderId="166" xfId="10" applyFont="1" applyFill="1" applyBorder="1" applyAlignment="1" applyProtection="1">
      <alignment horizontal="center" vertical="center" wrapText="1"/>
    </xf>
    <xf numFmtId="0" fontId="3" fillId="0" borderId="55" xfId="10" applyFont="1" applyFill="1" applyBorder="1" applyAlignment="1" applyProtection="1">
      <alignment horizontal="left" vertical="center" wrapText="1"/>
    </xf>
    <xf numFmtId="0" fontId="3" fillId="0" borderId="56" xfId="10" applyFont="1" applyFill="1" applyBorder="1" applyAlignment="1" applyProtection="1">
      <alignment horizontal="left" vertical="center" wrapText="1"/>
    </xf>
    <xf numFmtId="0" fontId="3" fillId="0" borderId="167" xfId="10" applyFont="1" applyBorder="1" applyAlignment="1" applyProtection="1">
      <alignment horizontal="center" vertical="center" wrapText="1"/>
    </xf>
    <xf numFmtId="0" fontId="3" fillId="0" borderId="163" xfId="10" applyFont="1" applyBorder="1" applyAlignment="1" applyProtection="1">
      <alignment horizontal="center" vertical="center" wrapText="1"/>
    </xf>
    <xf numFmtId="0" fontId="3" fillId="0" borderId="164" xfId="10" applyFont="1" applyBorder="1" applyAlignment="1" applyProtection="1">
      <alignment horizontal="center" vertical="center" wrapText="1"/>
    </xf>
    <xf numFmtId="0" fontId="3" fillId="0" borderId="168" xfId="10" applyFont="1" applyFill="1" applyBorder="1" applyAlignment="1" applyProtection="1">
      <alignment horizontal="center" vertical="center" wrapText="1"/>
    </xf>
    <xf numFmtId="0" fontId="3" fillId="0" borderId="161" xfId="10" applyFont="1" applyFill="1" applyBorder="1" applyAlignment="1" applyProtection="1">
      <alignment horizontal="center" vertical="center" wrapText="1"/>
    </xf>
    <xf numFmtId="0" fontId="3" fillId="0" borderId="169" xfId="10" applyFont="1" applyBorder="1" applyAlignment="1" applyProtection="1">
      <alignment horizontal="center" vertical="center" wrapText="1"/>
    </xf>
    <xf numFmtId="0" fontId="3" fillId="0" borderId="170" xfId="10" applyFont="1" applyBorder="1" applyAlignment="1" applyProtection="1">
      <alignment horizontal="center" vertical="center" wrapText="1"/>
    </xf>
    <xf numFmtId="0" fontId="3" fillId="0" borderId="171" xfId="10" applyFont="1" applyBorder="1" applyAlignment="1" applyProtection="1">
      <alignment horizontal="center" vertical="center" wrapText="1"/>
    </xf>
    <xf numFmtId="0" fontId="16" fillId="4" borderId="162" xfId="10" applyFont="1" applyFill="1" applyBorder="1" applyAlignment="1" applyProtection="1">
      <alignment horizontal="center" vertical="center" wrapText="1"/>
    </xf>
    <xf numFmtId="0" fontId="16" fillId="4" borderId="163" xfId="10" applyFont="1" applyFill="1" applyBorder="1" applyAlignment="1" applyProtection="1">
      <alignment horizontal="center" vertical="center" wrapText="1"/>
    </xf>
    <xf numFmtId="0" fontId="16" fillId="4" borderId="174" xfId="10" applyFont="1" applyFill="1" applyBorder="1" applyAlignment="1" applyProtection="1">
      <alignment horizontal="center" vertical="center" wrapText="1"/>
    </xf>
    <xf numFmtId="0" fontId="2" fillId="0" borderId="179" xfId="10" applyFont="1" applyBorder="1" applyAlignment="1" applyProtection="1">
      <alignment horizontal="left" vertical="center" wrapText="1"/>
    </xf>
    <xf numFmtId="0" fontId="2" fillId="0" borderId="180" xfId="10" applyFont="1" applyBorder="1" applyAlignment="1" applyProtection="1">
      <alignment horizontal="left" vertical="center" wrapText="1"/>
    </xf>
    <xf numFmtId="0" fontId="39" fillId="0" borderId="179" xfId="10" applyFont="1" applyBorder="1" applyAlignment="1" applyProtection="1">
      <alignment horizontal="center" vertical="center"/>
    </xf>
    <xf numFmtId="0" fontId="34" fillId="0" borderId="179" xfId="10" applyFont="1" applyBorder="1" applyAlignment="1" applyProtection="1">
      <alignment horizontal="center" vertical="center"/>
    </xf>
    <xf numFmtId="0" fontId="34" fillId="0" borderId="176" xfId="10" applyFont="1" applyBorder="1" applyAlignment="1" applyProtection="1">
      <alignment horizontal="center" vertical="center"/>
    </xf>
    <xf numFmtId="0" fontId="3" fillId="0" borderId="180" xfId="10" applyFont="1" applyBorder="1" applyAlignment="1" applyProtection="1">
      <alignment horizontal="left" vertical="center" wrapText="1" indent="1"/>
    </xf>
    <xf numFmtId="0" fontId="2" fillId="0" borderId="177" xfId="10" applyFont="1" applyBorder="1" applyAlignment="1" applyProtection="1">
      <alignment horizontal="left" vertical="center" wrapText="1"/>
    </xf>
    <xf numFmtId="0" fontId="3" fillId="0" borderId="121" xfId="0" applyNumberFormat="1" applyFont="1" applyFill="1" applyBorder="1" applyAlignment="1" applyProtection="1">
      <alignment horizontal="center" vertical="center" wrapText="1"/>
    </xf>
    <xf numFmtId="0" fontId="3" fillId="0" borderId="116" xfId="0" applyNumberFormat="1" applyFont="1" applyFill="1" applyBorder="1" applyAlignment="1" applyProtection="1">
      <alignment horizontal="center" vertical="center" wrapText="1"/>
    </xf>
    <xf numFmtId="0" fontId="3" fillId="0" borderId="122" xfId="0" applyNumberFormat="1" applyFont="1" applyFill="1" applyBorder="1" applyAlignment="1" applyProtection="1">
      <alignment horizontal="center" vertical="center" wrapText="1"/>
    </xf>
    <xf numFmtId="0" fontId="16" fillId="5" borderId="124" xfId="0" applyNumberFormat="1" applyFont="1" applyFill="1" applyBorder="1" applyAlignment="1" applyProtection="1">
      <alignment horizontal="center" vertical="center" wrapText="1"/>
    </xf>
    <xf numFmtId="0" fontId="16" fillId="5" borderId="114" xfId="0" applyNumberFormat="1" applyFont="1" applyFill="1" applyBorder="1" applyAlignment="1" applyProtection="1">
      <alignment horizontal="center" vertical="center" wrapText="1"/>
    </xf>
    <xf numFmtId="0" fontId="16" fillId="5" borderId="125" xfId="0" applyNumberFormat="1" applyFont="1" applyFill="1" applyBorder="1" applyAlignment="1" applyProtection="1">
      <alignment horizontal="center" vertical="center" wrapText="1"/>
    </xf>
    <xf numFmtId="0" fontId="2" fillId="0" borderId="124" xfId="0" applyNumberFormat="1" applyFont="1" applyFill="1" applyBorder="1" applyAlignment="1" applyProtection="1">
      <alignment horizontal="left" vertical="center" wrapText="1"/>
    </xf>
    <xf numFmtId="0" fontId="2" fillId="0" borderId="114" xfId="0" applyNumberFormat="1" applyFont="1" applyFill="1" applyBorder="1" applyAlignment="1" applyProtection="1">
      <alignment horizontal="left" vertical="center" wrapText="1"/>
    </xf>
    <xf numFmtId="0" fontId="2" fillId="0" borderId="113" xfId="0" applyNumberFormat="1" applyFont="1" applyFill="1" applyBorder="1" applyAlignment="1" applyProtection="1">
      <alignment horizontal="left" vertical="center" wrapText="1"/>
    </xf>
    <xf numFmtId="0" fontId="36" fillId="0" borderId="120" xfId="0" applyNumberFormat="1" applyFont="1" applyFill="1" applyBorder="1" applyAlignment="1" applyProtection="1">
      <alignment horizontal="center" vertical="center"/>
    </xf>
    <xf numFmtId="0" fontId="36" fillId="0" borderId="127" xfId="0" applyNumberFormat="1" applyFont="1" applyFill="1" applyBorder="1" applyAlignment="1" applyProtection="1">
      <alignment horizontal="center" vertical="center"/>
    </xf>
    <xf numFmtId="0" fontId="36" fillId="0" borderId="126" xfId="0" applyNumberFormat="1" applyFont="1" applyFill="1" applyBorder="1" applyAlignment="1" applyProtection="1">
      <alignment horizontal="center" vertical="center"/>
    </xf>
    <xf numFmtId="0" fontId="2" fillId="0" borderId="111" xfId="0" applyNumberFormat="1" applyFont="1" applyFill="1" applyBorder="1" applyAlignment="1" applyProtection="1">
      <alignment horizontal="left" vertical="center" wrapText="1"/>
    </xf>
    <xf numFmtId="0" fontId="3" fillId="0" borderId="123" xfId="0" applyNumberFormat="1" applyFont="1" applyFill="1" applyBorder="1" applyAlignment="1" applyProtection="1">
      <alignment horizontal="left" vertical="center" wrapText="1" indent="1"/>
    </xf>
    <xf numFmtId="0" fontId="3" fillId="0" borderId="109" xfId="0" applyNumberFormat="1" applyFont="1" applyFill="1" applyBorder="1" applyAlignment="1" applyProtection="1">
      <alignment horizontal="left" vertical="center" wrapText="1" indent="1"/>
    </xf>
    <xf numFmtId="0" fontId="3" fillId="0" borderId="108" xfId="0" applyNumberFormat="1" applyFont="1" applyFill="1" applyBorder="1" applyAlignment="1" applyProtection="1">
      <alignment horizontal="left" vertical="center" wrapText="1" indent="1"/>
    </xf>
    <xf numFmtId="0" fontId="2" fillId="0" borderId="130" xfId="0" applyNumberFormat="1" applyFont="1" applyFill="1" applyBorder="1" applyAlignment="1" applyProtection="1">
      <alignment horizontal="left" vertical="center" wrapText="1"/>
    </xf>
    <xf numFmtId="0" fontId="2" fillId="0" borderId="13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6" fontId="12" fillId="0" borderId="4" xfId="1" applyNumberFormat="1" applyFont="1" applyBorder="1" applyAlignment="1" applyProtection="1">
      <alignment horizontal="center"/>
    </xf>
    <xf numFmtId="0" fontId="30" fillId="0" borderId="4" xfId="0" applyFont="1" applyBorder="1" applyAlignment="1">
      <alignment horizontal="center" vertical="center" wrapText="1"/>
    </xf>
    <xf numFmtId="164" fontId="12" fillId="0" borderId="4" xfId="1" applyFont="1" applyBorder="1" applyAlignment="1" applyProtection="1">
      <alignment horizontal="center"/>
    </xf>
    <xf numFmtId="49" fontId="16" fillId="0" borderId="0" xfId="10" applyNumberFormat="1" applyFont="1" applyBorder="1" applyAlignment="1" applyProtection="1">
      <alignment horizontal="left" vertical="center" wrapText="1"/>
    </xf>
    <xf numFmtId="0" fontId="3" fillId="0" borderId="50" xfId="10" applyFont="1" applyBorder="1" applyAlignment="1" applyProtection="1">
      <alignment horizontal="center" vertical="center" wrapText="1"/>
    </xf>
    <xf numFmtId="0" fontId="3" fillId="0" borderId="51" xfId="10" applyFont="1" applyBorder="1" applyAlignment="1" applyProtection="1">
      <alignment horizontal="center" vertical="center" wrapText="1"/>
    </xf>
    <xf numFmtId="0" fontId="3" fillId="0" borderId="52" xfId="10" applyFont="1" applyBorder="1" applyAlignment="1" applyProtection="1">
      <alignment horizontal="center" vertical="center" wrapText="1"/>
    </xf>
    <xf numFmtId="0" fontId="3" fillId="0" borderId="162" xfId="10" applyFont="1" applyBorder="1" applyAlignment="1" applyProtection="1">
      <alignment horizontal="center" vertical="center" wrapText="1"/>
    </xf>
    <xf numFmtId="0" fontId="6" fillId="0" borderId="0" xfId="10" quotePrefix="1" applyFont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0" fontId="3" fillId="0" borderId="96" xfId="0" applyNumberFormat="1" applyFont="1" applyFill="1" applyBorder="1" applyAlignment="1" applyProtection="1">
      <alignment horizontal="center" vertical="center" wrapText="1"/>
    </xf>
    <xf numFmtId="0" fontId="3" fillId="0" borderId="100" xfId="0" applyNumberFormat="1" applyFont="1" applyFill="1" applyBorder="1" applyAlignment="1" applyProtection="1">
      <alignment horizontal="center" vertical="center" wrapText="1"/>
    </xf>
    <xf numFmtId="0" fontId="3" fillId="0" borderId="97" xfId="0" applyNumberFormat="1" applyFont="1" applyFill="1" applyBorder="1" applyAlignment="1" applyProtection="1">
      <alignment horizontal="center" vertical="center" wrapText="1"/>
    </xf>
    <xf numFmtId="0" fontId="3" fillId="0" borderId="10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3" xfId="0" applyNumberFormat="1" applyFont="1" applyFill="1" applyBorder="1" applyAlignment="1" applyProtection="1">
      <alignment horizontal="center" vertical="center" wrapText="1"/>
    </xf>
    <xf numFmtId="0" fontId="3" fillId="0" borderId="98" xfId="0" applyNumberFormat="1" applyFont="1" applyFill="1" applyBorder="1" applyAlignment="1" applyProtection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 wrapText="1"/>
    </xf>
    <xf numFmtId="0" fontId="3" fillId="0" borderId="99" xfId="0" applyNumberFormat="1" applyFont="1" applyFill="1" applyBorder="1" applyAlignment="1" applyProtection="1">
      <alignment horizontal="center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</xf>
    <xf numFmtId="0" fontId="3" fillId="0" borderId="105" xfId="0" applyNumberFormat="1" applyFont="1" applyFill="1" applyBorder="1" applyAlignment="1" applyProtection="1">
      <alignment horizontal="center" vertical="center" wrapText="1"/>
    </xf>
    <xf numFmtId="0" fontId="3" fillId="0" borderId="106" xfId="0" applyNumberFormat="1" applyFont="1" applyFill="1" applyBorder="1" applyAlignment="1" applyProtection="1">
      <alignment horizontal="center" vertical="center" wrapText="1"/>
    </xf>
    <xf numFmtId="0" fontId="3" fillId="0" borderId="107" xfId="0" applyNumberFormat="1" applyFont="1" applyFill="1" applyBorder="1" applyAlignment="1" applyProtection="1">
      <alignment horizontal="center" vertical="center" wrapText="1"/>
    </xf>
    <xf numFmtId="0" fontId="3" fillId="0" borderId="109" xfId="0" applyNumberFormat="1" applyFont="1" applyFill="1" applyBorder="1" applyAlignment="1" applyProtection="1">
      <alignment horizontal="center" vertical="center" wrapText="1"/>
    </xf>
    <xf numFmtId="0" fontId="3" fillId="0" borderId="108" xfId="0" applyNumberFormat="1" applyFont="1" applyFill="1" applyBorder="1" applyAlignment="1" applyProtection="1">
      <alignment horizontal="center" vertical="center" wrapText="1"/>
    </xf>
    <xf numFmtId="0" fontId="3" fillId="0" borderId="104" xfId="0" applyNumberFormat="1" applyFont="1" applyFill="1" applyBorder="1" applyAlignment="1" applyProtection="1">
      <alignment horizontal="left" vertical="center" wrapText="1"/>
    </xf>
    <xf numFmtId="0" fontId="3" fillId="0" borderId="100" xfId="0" applyNumberFormat="1" applyFont="1" applyFill="1" applyBorder="1" applyAlignment="1" applyProtection="1">
      <alignment horizontal="left" vertical="center" wrapText="1"/>
    </xf>
    <xf numFmtId="0" fontId="3" fillId="0" borderId="110" xfId="0" applyNumberFormat="1" applyFont="1" applyFill="1" applyBorder="1" applyAlignment="1" applyProtection="1">
      <alignment horizontal="left" vertical="center" wrapText="1"/>
    </xf>
    <xf numFmtId="0" fontId="3" fillId="0" borderId="112" xfId="0" applyNumberFormat="1" applyFont="1" applyFill="1" applyBorder="1" applyAlignment="1" applyProtection="1">
      <alignment horizontal="center" vertical="center" wrapText="1"/>
    </xf>
    <xf numFmtId="0" fontId="3" fillId="0" borderId="114" xfId="0" applyNumberFormat="1" applyFont="1" applyFill="1" applyBorder="1" applyAlignment="1" applyProtection="1">
      <alignment horizontal="center" vertical="center" wrapText="1"/>
    </xf>
    <xf numFmtId="0" fontId="3" fillId="0" borderId="113" xfId="0" applyNumberFormat="1" applyFont="1" applyFill="1" applyBorder="1" applyAlignment="1" applyProtection="1">
      <alignment horizontal="center" vertical="center" wrapText="1"/>
    </xf>
    <xf numFmtId="0" fontId="3" fillId="0" borderId="117" xfId="0" applyNumberFormat="1" applyFont="1" applyFill="1" applyBorder="1" applyAlignment="1" applyProtection="1">
      <alignment horizontal="center" vertical="center" wrapText="1"/>
    </xf>
    <xf numFmtId="0" fontId="3" fillId="0" borderId="11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10" applyFont="1" applyBorder="1" applyAlignment="1" applyProtection="1">
      <alignment horizontal="left" vertical="center" wrapText="1" indent="3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22" xfId="10" applyFont="1" applyBorder="1" applyAlignment="1" applyProtection="1">
      <alignment horizontal="left" vertical="center" wrapText="1"/>
    </xf>
    <xf numFmtId="0" fontId="3" fillId="0" borderId="81" xfId="10" applyFont="1" applyBorder="1" applyAlignment="1" applyProtection="1">
      <alignment horizontal="center" vertical="center" wrapText="1"/>
    </xf>
    <xf numFmtId="0" fontId="3" fillId="0" borderId="37" xfId="10" applyFont="1" applyBorder="1" applyAlignment="1" applyProtection="1">
      <alignment horizontal="center" vertical="center" wrapText="1"/>
    </xf>
    <xf numFmtId="0" fontId="3" fillId="0" borderId="75" xfId="10" applyFont="1" applyBorder="1" applyAlignment="1" applyProtection="1">
      <alignment horizontal="center" vertical="center" wrapText="1"/>
    </xf>
    <xf numFmtId="0" fontId="3" fillId="0" borderId="61" xfId="10" applyFont="1" applyBorder="1" applyAlignment="1" applyProtection="1">
      <alignment horizontal="left" vertical="center" wrapText="1"/>
    </xf>
    <xf numFmtId="0" fontId="3" fillId="0" borderId="62" xfId="10" applyFont="1" applyBorder="1" applyAlignment="1" applyProtection="1">
      <alignment horizontal="left" vertical="center" wrapText="1"/>
    </xf>
    <xf numFmtId="0" fontId="3" fillId="0" borderId="42" xfId="10" applyFont="1" applyBorder="1" applyAlignment="1" applyProtection="1">
      <alignment horizontal="left" vertical="center" wrapText="1"/>
    </xf>
    <xf numFmtId="0" fontId="3" fillId="0" borderId="43" xfId="10" applyFont="1" applyBorder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left" vertical="center" wrapText="1"/>
    </xf>
    <xf numFmtId="0" fontId="3" fillId="0" borderId="82" xfId="10" applyFont="1" applyBorder="1" applyAlignment="1" applyProtection="1">
      <alignment horizontal="left" vertical="center" wrapText="1"/>
    </xf>
    <xf numFmtId="0" fontId="3" fillId="0" borderId="42" xfId="10" applyFont="1" applyBorder="1" applyAlignment="1" applyProtection="1">
      <alignment horizontal="center" vertical="center" wrapText="1"/>
    </xf>
    <xf numFmtId="0" fontId="3" fillId="0" borderId="43" xfId="10" applyFont="1" applyBorder="1" applyAlignment="1" applyProtection="1">
      <alignment horizontal="center" vertical="center" wrapText="1"/>
    </xf>
    <xf numFmtId="0" fontId="3" fillId="0" borderId="78" xfId="10" applyFont="1" applyBorder="1" applyAlignment="1" applyProtection="1">
      <alignment horizontal="center" vertical="center" wrapText="1"/>
    </xf>
    <xf numFmtId="0" fontId="3" fillId="0" borderId="79" xfId="10" applyFont="1" applyBorder="1" applyAlignment="1" applyProtection="1">
      <alignment horizontal="center" vertical="center" wrapText="1"/>
    </xf>
    <xf numFmtId="0" fontId="3" fillId="0" borderId="80" xfId="10" applyFont="1" applyBorder="1" applyAlignment="1" applyProtection="1">
      <alignment horizontal="center" vertical="center" wrapText="1"/>
    </xf>
    <xf numFmtId="0" fontId="3" fillId="0" borderId="57" xfId="10" applyFont="1" applyBorder="1" applyAlignment="1" applyProtection="1">
      <alignment horizontal="left" vertical="center" wrapText="1"/>
    </xf>
    <xf numFmtId="0" fontId="3" fillId="0" borderId="58" xfId="10" applyFont="1" applyBorder="1" applyAlignment="1" applyProtection="1">
      <alignment horizontal="left" vertical="center" wrapText="1"/>
    </xf>
    <xf numFmtId="0" fontId="3" fillId="0" borderId="78" xfId="10" applyFont="1" applyBorder="1" applyAlignment="1" applyProtection="1">
      <alignment horizontal="left" vertical="center" wrapText="1"/>
    </xf>
    <xf numFmtId="0" fontId="3" fillId="0" borderId="77" xfId="10" applyFont="1" applyBorder="1" applyAlignment="1" applyProtection="1">
      <alignment horizontal="left" vertical="center" wrapText="1"/>
    </xf>
    <xf numFmtId="0" fontId="4" fillId="0" borderId="38" xfId="10" applyFont="1" applyBorder="1" applyAlignment="1" applyProtection="1">
      <alignment horizontal="center" vertical="top" wrapText="1"/>
    </xf>
    <xf numFmtId="0" fontId="4" fillId="0" borderId="77" xfId="10" applyFont="1" applyBorder="1" applyAlignment="1" applyProtection="1">
      <alignment horizontal="center" vertical="top" wrapText="1"/>
    </xf>
    <xf numFmtId="0" fontId="3" fillId="0" borderId="38" xfId="10" applyFont="1" applyBorder="1" applyAlignment="1" applyProtection="1">
      <alignment horizontal="left" vertical="center" wrapText="1"/>
    </xf>
    <xf numFmtId="0" fontId="3" fillId="0" borderId="59" xfId="10" applyFont="1" applyBorder="1" applyAlignment="1" applyProtection="1">
      <alignment horizontal="left" vertical="center" wrapText="1"/>
    </xf>
    <xf numFmtId="0" fontId="3" fillId="0" borderId="60" xfId="10" applyFont="1" applyFill="1" applyBorder="1" applyAlignment="1" applyProtection="1">
      <alignment horizontal="left" vertical="center" wrapText="1" indent="4"/>
    </xf>
    <xf numFmtId="0" fontId="3" fillId="0" borderId="61" xfId="10" applyFont="1" applyFill="1" applyBorder="1" applyAlignment="1" applyProtection="1">
      <alignment horizontal="left" vertical="center" wrapText="1" indent="4"/>
    </xf>
    <xf numFmtId="0" fontId="3" fillId="0" borderId="62" xfId="10" applyFont="1" applyFill="1" applyBorder="1" applyAlignment="1" applyProtection="1">
      <alignment horizontal="left" vertical="center" wrapText="1" indent="4"/>
    </xf>
    <xf numFmtId="0" fontId="3" fillId="0" borderId="80" xfId="10" applyFont="1" applyFill="1" applyBorder="1" applyAlignment="1" applyProtection="1">
      <alignment horizontal="left" vertical="center" wrapText="1"/>
    </xf>
    <xf numFmtId="0" fontId="3" fillId="0" borderId="84" xfId="10" applyFont="1" applyFill="1" applyBorder="1" applyAlignment="1" applyProtection="1">
      <alignment horizontal="left" vertical="center" wrapText="1"/>
    </xf>
    <xf numFmtId="0" fontId="3" fillId="0" borderId="77" xfId="10" applyFont="1" applyFill="1" applyBorder="1" applyAlignment="1" applyProtection="1">
      <alignment horizontal="left" vertical="center" wrapText="1"/>
    </xf>
    <xf numFmtId="0" fontId="3" fillId="0" borderId="38" xfId="1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3" fillId="0" borderId="45" xfId="10" applyFont="1" applyBorder="1" applyAlignment="1" applyProtection="1">
      <alignment horizontal="center" vertical="center" wrapText="1"/>
    </xf>
    <xf numFmtId="0" fontId="3" fillId="0" borderId="73" xfId="10" applyFont="1" applyBorder="1" applyAlignment="1" applyProtection="1">
      <alignment horizontal="center" vertical="center" wrapText="1"/>
    </xf>
    <xf numFmtId="0" fontId="3" fillId="0" borderId="57" xfId="10" applyFont="1" applyFill="1" applyBorder="1" applyAlignment="1" applyProtection="1">
      <alignment horizontal="left" vertical="center" wrapText="1"/>
    </xf>
    <xf numFmtId="0" fontId="3" fillId="0" borderId="58" xfId="10" applyFont="1" applyFill="1" applyBorder="1" applyAlignment="1" applyProtection="1">
      <alignment horizontal="left" vertical="center" wrapText="1"/>
    </xf>
    <xf numFmtId="0" fontId="3" fillId="0" borderId="57" xfId="10" applyFont="1" applyFill="1" applyBorder="1" applyAlignment="1" applyProtection="1">
      <alignment horizontal="left" vertical="center" wrapText="1" indent="2"/>
    </xf>
    <xf numFmtId="0" fontId="3" fillId="0" borderId="58" xfId="10" applyFont="1" applyFill="1" applyBorder="1" applyAlignment="1" applyProtection="1">
      <alignment horizontal="left" vertical="center" wrapText="1" indent="2"/>
    </xf>
    <xf numFmtId="0" fontId="3" fillId="0" borderId="85" xfId="10" applyFont="1" applyFill="1" applyBorder="1" applyAlignment="1" applyProtection="1">
      <alignment horizontal="left" vertical="center" wrapText="1"/>
    </xf>
  </cellXfs>
  <cellStyles count="12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2 2" xfId="4" xr:uid="{00000000-0005-0000-0000-000003000000}"/>
    <cellStyle name="Dziesiętny 2 3" xfId="5" xr:uid="{00000000-0005-0000-0000-000004000000}"/>
    <cellStyle name="Dziesiętny 3" xfId="6" xr:uid="{00000000-0005-0000-0000-000005000000}"/>
    <cellStyle name="Dziesiętny 3 2" xfId="7" xr:uid="{00000000-0005-0000-0000-000006000000}"/>
    <cellStyle name="Dziesiętny 4" xfId="8" xr:uid="{00000000-0005-0000-0000-000007000000}"/>
    <cellStyle name="Excel Built-in Normal" xfId="10" xr:uid="{00000000-0005-0000-0000-000008000000}"/>
    <cellStyle name="Normalny" xfId="0" builtinId="0"/>
    <cellStyle name="Normalny 2" xfId="9" xr:uid="{00000000-0005-0000-0000-00000A000000}"/>
    <cellStyle name="Normalny 3" xfId="11" xr:uid="{00000000-0005-0000-0000-00000B000000}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28</xdr:row>
      <xdr:rowOff>304800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3" name="AutoShape 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4" name="AutoShape 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7" name="AutoShape 10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3" name="AutoShape 8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49" name="AutoShape 6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2" name="AutoShape 1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4" name="AutoShape 6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772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3076" name="_x0000_t202" hidden="1">
          <a:extLst>
            <a:ext uri="{FF2B5EF4-FFF2-40B4-BE49-F238E27FC236}">
              <a16:creationId xmlns:a16="http://schemas.microsoft.com/office/drawing/2014/main" id="{00000000-0008-0000-07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id="{00000000-0008-0000-07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342900</xdr:colOff>
      <xdr:row>44</xdr:row>
      <xdr:rowOff>28575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44</xdr:row>
      <xdr:rowOff>28575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153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8" name="_x0000_t202" hidden="1">
          <a:extLst>
            <a:ext uri="{FF2B5EF4-FFF2-40B4-BE49-F238E27FC236}">
              <a16:creationId xmlns:a16="http://schemas.microsoft.com/office/drawing/2014/main" id="{00000000-0008-0000-0800-00000C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6" name="_x0000_t202" hidden="1">
          <a:extLst>
            <a:ext uri="{FF2B5EF4-FFF2-40B4-BE49-F238E27FC236}">
              <a16:creationId xmlns:a16="http://schemas.microsoft.com/office/drawing/2014/main" id="{00000000-0008-0000-0800-00000A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4" name="_x0000_t202" hidden="1">
          <a:extLst>
            <a:ext uri="{FF2B5EF4-FFF2-40B4-BE49-F238E27FC236}">
              <a16:creationId xmlns:a16="http://schemas.microsoft.com/office/drawing/2014/main" id="{00000000-0008-0000-0800-000008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2" name="_x0000_t202" hidden="1">
          <a:extLst>
            <a:ext uri="{FF2B5EF4-FFF2-40B4-BE49-F238E27FC236}">
              <a16:creationId xmlns:a16="http://schemas.microsoft.com/office/drawing/2014/main" id="{00000000-0008-0000-0800-00000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0" name="_x0000_t202" hidden="1">
          <a:extLst>
            <a:ext uri="{FF2B5EF4-FFF2-40B4-BE49-F238E27FC236}">
              <a16:creationId xmlns:a16="http://schemas.microsoft.com/office/drawing/2014/main" id="{00000000-0008-0000-0800-00000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098" name="_x0000_t202" hidden="1">
          <a:extLst>
            <a:ext uri="{FF2B5EF4-FFF2-40B4-BE49-F238E27FC236}">
              <a16:creationId xmlns:a16="http://schemas.microsoft.com/office/drawing/2014/main" id="{00000000-0008-0000-08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096" name="AutoShape 8">
          <a:extLst>
            <a:ext uri="{FF2B5EF4-FFF2-40B4-BE49-F238E27FC236}">
              <a16:creationId xmlns:a16="http://schemas.microsoft.com/office/drawing/2014/main" id="{00000000-0008-0000-0800-00000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097" name="AutoShape 6">
          <a:extLst>
            <a:ext uri="{FF2B5EF4-FFF2-40B4-BE49-F238E27FC236}">
              <a16:creationId xmlns:a16="http://schemas.microsoft.com/office/drawing/2014/main" id="{00000000-0008-0000-0800-00000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099" name="AutoShape 4">
          <a:extLst>
            <a:ext uri="{FF2B5EF4-FFF2-40B4-BE49-F238E27FC236}">
              <a16:creationId xmlns:a16="http://schemas.microsoft.com/office/drawing/2014/main" id="{00000000-0008-0000-0800-00000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00000000-0008-0000-0800-00000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3" name="AutoShape 12">
          <a:extLst>
            <a:ext uri="{FF2B5EF4-FFF2-40B4-BE49-F238E27FC236}">
              <a16:creationId xmlns:a16="http://schemas.microsoft.com/office/drawing/2014/main" id="{00000000-0008-0000-0800-00000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5" name="AutoShape 10">
          <a:extLst>
            <a:ext uri="{FF2B5EF4-FFF2-40B4-BE49-F238E27FC236}">
              <a16:creationId xmlns:a16="http://schemas.microsoft.com/office/drawing/2014/main" id="{00000000-0008-0000-0800-00000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7" name="AutoShape 8">
          <a:extLst>
            <a:ext uri="{FF2B5EF4-FFF2-40B4-BE49-F238E27FC236}">
              <a16:creationId xmlns:a16="http://schemas.microsoft.com/office/drawing/2014/main" id="{00000000-0008-0000-0800-00000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09" name="AutoShape 6">
          <a:extLst>
            <a:ext uri="{FF2B5EF4-FFF2-40B4-BE49-F238E27FC236}">
              <a16:creationId xmlns:a16="http://schemas.microsoft.com/office/drawing/2014/main" id="{00000000-0008-0000-0800-00000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10" name="AutoShape 4">
          <a:extLst>
            <a:ext uri="{FF2B5EF4-FFF2-40B4-BE49-F238E27FC236}">
              <a16:creationId xmlns:a16="http://schemas.microsoft.com/office/drawing/2014/main" id="{00000000-0008-0000-0800-00000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50</xdr:row>
      <xdr:rowOff>95250</xdr:rowOff>
    </xdr:to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00000000-0008-0000-0800-00000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5122" name="_x0000_t202" hidden="1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a.jarzembska\Moje%20dokumenty\EXCEL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42"/>
  <sheetViews>
    <sheetView topLeftCell="A5" zoomScaleNormal="100" workbookViewId="0">
      <selection activeCell="I13" sqref="I13"/>
    </sheetView>
  </sheetViews>
  <sheetFormatPr defaultRowHeight="12.75"/>
  <cols>
    <col min="1" max="1" width="7.42578125" customWidth="1"/>
    <col min="2" max="2" width="7.140625" customWidth="1"/>
    <col min="3" max="3" width="4" customWidth="1"/>
    <col min="4" max="4" width="64.5703125" customWidth="1"/>
    <col min="5" max="5" width="7.85546875" customWidth="1"/>
    <col min="6" max="6" width="9.140625" customWidth="1"/>
    <col min="7" max="7" width="14" hidden="1" customWidth="1"/>
    <col min="8" max="8" width="16.42578125" customWidth="1"/>
    <col min="9" max="9" width="19" customWidth="1"/>
    <col min="10" max="10" width="13.85546875" customWidth="1"/>
    <col min="11" max="12" width="9.140625" customWidth="1"/>
    <col min="13" max="13" width="13.42578125" customWidth="1"/>
    <col min="14" max="14" width="12.28515625" customWidth="1"/>
    <col min="15" max="1025" width="9.140625" customWidth="1"/>
  </cols>
  <sheetData>
    <row r="1" spans="1:10">
      <c r="A1" s="1" t="s">
        <v>328</v>
      </c>
      <c r="B1" s="2"/>
      <c r="C1" s="2"/>
      <c r="D1" s="3"/>
      <c r="E1" s="3"/>
      <c r="F1" s="4"/>
      <c r="G1" s="5"/>
    </row>
    <row r="2" spans="1:10" ht="15.75" customHeight="1">
      <c r="A2" s="318" t="s">
        <v>0</v>
      </c>
      <c r="B2" s="318"/>
      <c r="C2" s="318"/>
      <c r="D2" s="318"/>
      <c r="E2" s="318"/>
      <c r="F2" s="318"/>
      <c r="G2" s="6"/>
    </row>
    <row r="3" spans="1:10" ht="15.75">
      <c r="A3" s="7"/>
      <c r="B3" s="7"/>
      <c r="C3" s="7"/>
      <c r="D3" s="7"/>
      <c r="E3" s="7"/>
      <c r="F3" s="7"/>
      <c r="G3" s="5"/>
    </row>
    <row r="4" spans="1:10" ht="31.5" customHeight="1">
      <c r="A4" s="319" t="s">
        <v>1</v>
      </c>
      <c r="B4" s="319"/>
      <c r="C4" s="319"/>
      <c r="D4" s="319"/>
      <c r="E4" s="319"/>
      <c r="F4" s="8" t="s">
        <v>2</v>
      </c>
      <c r="G4" s="9" t="s">
        <v>3</v>
      </c>
      <c r="H4" s="10" t="s">
        <v>4</v>
      </c>
    </row>
    <row r="5" spans="1:10" ht="15">
      <c r="A5" s="320">
        <v>1</v>
      </c>
      <c r="B5" s="320"/>
      <c r="C5" s="320"/>
      <c r="D5" s="320"/>
      <c r="E5" s="320"/>
      <c r="F5" s="11">
        <v>2</v>
      </c>
      <c r="G5" s="12">
        <v>3</v>
      </c>
      <c r="H5" s="13"/>
    </row>
    <row r="6" spans="1:10" ht="18" customHeight="1">
      <c r="A6" s="321" t="s">
        <v>5</v>
      </c>
      <c r="B6" s="321"/>
      <c r="C6" s="321"/>
      <c r="D6" s="321"/>
      <c r="E6" s="14" t="s">
        <v>6</v>
      </c>
      <c r="F6" s="14" t="s">
        <v>7</v>
      </c>
      <c r="G6" s="15">
        <f>G7+G8</f>
        <v>8963</v>
      </c>
      <c r="H6" s="16">
        <f>H7+H8</f>
        <v>9007</v>
      </c>
    </row>
    <row r="7" spans="1:10" ht="15.75" customHeight="1">
      <c r="A7" s="321" t="s">
        <v>8</v>
      </c>
      <c r="B7" s="322" t="s">
        <v>9</v>
      </c>
      <c r="C7" s="322"/>
      <c r="D7" s="322"/>
      <c r="E7" s="14" t="s">
        <v>10</v>
      </c>
      <c r="F7" s="14" t="s">
        <v>7</v>
      </c>
      <c r="G7" s="17">
        <v>7140</v>
      </c>
      <c r="H7" s="13">
        <v>7000</v>
      </c>
    </row>
    <row r="8" spans="1:10" ht="15.75" customHeight="1">
      <c r="A8" s="321"/>
      <c r="B8" s="322" t="s">
        <v>11</v>
      </c>
      <c r="C8" s="322"/>
      <c r="D8" s="322"/>
      <c r="E8" s="14" t="s">
        <v>12</v>
      </c>
      <c r="F8" s="14" t="s">
        <v>7</v>
      </c>
      <c r="G8" s="17">
        <v>1823</v>
      </c>
      <c r="H8" s="13">
        <v>2007</v>
      </c>
    </row>
    <row r="9" spans="1:10" ht="15.75" customHeight="1">
      <c r="A9" s="323" t="s">
        <v>13</v>
      </c>
      <c r="B9" s="323"/>
      <c r="C9" s="323"/>
      <c r="D9" s="323"/>
      <c r="E9" s="14" t="s">
        <v>14</v>
      </c>
      <c r="F9" s="14" t="s">
        <v>7</v>
      </c>
      <c r="G9" s="17">
        <f>304+29</f>
        <v>333</v>
      </c>
      <c r="H9" s="13">
        <v>323</v>
      </c>
    </row>
    <row r="10" spans="1:10" ht="15.75" customHeight="1">
      <c r="A10" s="324" t="s">
        <v>15</v>
      </c>
      <c r="B10" s="325" t="s">
        <v>16</v>
      </c>
      <c r="C10" s="325"/>
      <c r="D10" s="325"/>
      <c r="E10" s="14" t="s">
        <v>17</v>
      </c>
      <c r="F10" s="14" t="s">
        <v>7</v>
      </c>
      <c r="G10" s="17">
        <v>304</v>
      </c>
      <c r="H10" s="13">
        <v>323</v>
      </c>
      <c r="I10" s="18"/>
    </row>
    <row r="11" spans="1:10" ht="27.75" customHeight="1">
      <c r="A11" s="324"/>
      <c r="B11" s="19" t="s">
        <v>15</v>
      </c>
      <c r="C11" s="322" t="s">
        <v>18</v>
      </c>
      <c r="D11" s="322"/>
      <c r="E11" s="20" t="s">
        <v>19</v>
      </c>
      <c r="F11" s="14" t="s">
        <v>7</v>
      </c>
      <c r="G11" s="17">
        <v>160</v>
      </c>
      <c r="H11" s="13">
        <v>125</v>
      </c>
      <c r="I11" s="18"/>
    </row>
    <row r="12" spans="1:10" ht="15.75" customHeight="1">
      <c r="A12" s="324"/>
      <c r="B12" s="326" t="s">
        <v>20</v>
      </c>
      <c r="C12" s="326"/>
      <c r="D12" s="326"/>
      <c r="E12" s="14" t="s">
        <v>21</v>
      </c>
      <c r="F12" s="14" t="s">
        <v>7</v>
      </c>
      <c r="G12" s="17">
        <v>29</v>
      </c>
      <c r="H12" s="13">
        <v>27</v>
      </c>
      <c r="I12" s="18">
        <v>3279150</v>
      </c>
      <c r="J12" t="s">
        <v>22</v>
      </c>
    </row>
    <row r="13" spans="1:10" ht="38.25" customHeight="1">
      <c r="A13" s="324"/>
      <c r="B13" s="19" t="s">
        <v>15</v>
      </c>
      <c r="C13" s="322" t="s">
        <v>23</v>
      </c>
      <c r="D13" s="322"/>
      <c r="E13" s="20" t="s">
        <v>24</v>
      </c>
      <c r="F13" s="14" t="s">
        <v>7</v>
      </c>
      <c r="G13" s="17">
        <v>29</v>
      </c>
      <c r="H13" s="13">
        <v>27</v>
      </c>
      <c r="I13" s="18">
        <f>130*1950*3</f>
        <v>760500</v>
      </c>
      <c r="J13" t="s">
        <v>25</v>
      </c>
    </row>
    <row r="14" spans="1:10" ht="51.75" customHeight="1">
      <c r="A14" s="324"/>
      <c r="B14" s="324" t="s">
        <v>15</v>
      </c>
      <c r="C14" s="324"/>
      <c r="D14" s="21" t="s">
        <v>26</v>
      </c>
      <c r="E14" s="20" t="s">
        <v>27</v>
      </c>
      <c r="F14" s="14" t="s">
        <v>7</v>
      </c>
      <c r="G14" s="17">
        <v>0</v>
      </c>
      <c r="H14" s="13">
        <v>0</v>
      </c>
      <c r="I14" s="18">
        <f>830450+(92*800*3)</f>
        <v>1051250</v>
      </c>
      <c r="J14" t="s">
        <v>28</v>
      </c>
    </row>
    <row r="15" spans="1:10" ht="29.25" customHeight="1">
      <c r="A15" s="327" t="s">
        <v>29</v>
      </c>
      <c r="B15" s="327"/>
      <c r="C15" s="327"/>
      <c r="D15" s="327"/>
      <c r="E15" s="20">
        <v>10</v>
      </c>
      <c r="F15" s="22" t="s">
        <v>30</v>
      </c>
      <c r="G15" s="17">
        <f>5268+180</f>
        <v>5448</v>
      </c>
      <c r="H15" s="13">
        <v>5242.5</v>
      </c>
      <c r="I15" s="18">
        <f>117850+33750</f>
        <v>151600</v>
      </c>
      <c r="J15" t="s">
        <v>31</v>
      </c>
    </row>
    <row r="16" spans="1:10" ht="27" customHeight="1">
      <c r="A16" s="327" t="s">
        <v>32</v>
      </c>
      <c r="B16" s="327"/>
      <c r="C16" s="327"/>
      <c r="D16" s="327"/>
      <c r="E16" s="14">
        <v>11</v>
      </c>
      <c r="F16" s="22" t="s">
        <v>30</v>
      </c>
      <c r="G16" s="23">
        <v>0</v>
      </c>
      <c r="H16" s="13">
        <v>0</v>
      </c>
      <c r="I16" s="24">
        <f>SUM(I10:I15)</f>
        <v>5242500</v>
      </c>
    </row>
    <row r="17" spans="1:14" ht="25.5" customHeight="1">
      <c r="A17" s="321" t="s">
        <v>33</v>
      </c>
      <c r="B17" s="321"/>
      <c r="C17" s="321"/>
      <c r="D17" s="321"/>
      <c r="E17" s="20">
        <v>12</v>
      </c>
      <c r="F17" s="22" t="s">
        <v>30</v>
      </c>
      <c r="G17" s="23">
        <v>603</v>
      </c>
      <c r="H17" s="13"/>
    </row>
    <row r="18" spans="1:14" ht="23.25" customHeight="1">
      <c r="A18" s="321" t="s">
        <v>34</v>
      </c>
      <c r="B18" s="321"/>
      <c r="C18" s="321"/>
      <c r="D18" s="321"/>
      <c r="E18" s="20">
        <v>13</v>
      </c>
      <c r="F18" s="22" t="s">
        <v>30</v>
      </c>
      <c r="G18" s="23">
        <v>46332.800000000003</v>
      </c>
      <c r="H18" s="13"/>
    </row>
    <row r="19" spans="1:14" ht="25.5" customHeight="1">
      <c r="A19" s="328" t="s">
        <v>35</v>
      </c>
      <c r="B19" s="328"/>
      <c r="C19" s="328"/>
      <c r="D19" s="328"/>
      <c r="E19" s="25">
        <v>14</v>
      </c>
      <c r="F19" s="26" t="s">
        <v>30</v>
      </c>
      <c r="G19" s="27">
        <v>6956</v>
      </c>
      <c r="H19" s="13"/>
    </row>
    <row r="20" spans="1:14" ht="31.5" customHeight="1">
      <c r="A20" s="329" t="s">
        <v>36</v>
      </c>
      <c r="B20" s="329"/>
      <c r="C20" s="329"/>
      <c r="D20" s="329"/>
      <c r="E20" s="14">
        <v>15</v>
      </c>
      <c r="F20" s="28" t="s">
        <v>30</v>
      </c>
      <c r="G20" s="27">
        <v>62.8</v>
      </c>
      <c r="H20" s="13"/>
    </row>
    <row r="21" spans="1:14" ht="28.5" customHeight="1">
      <c r="A21" s="329" t="s">
        <v>37</v>
      </c>
      <c r="B21" s="329"/>
      <c r="C21" s="329"/>
      <c r="D21" s="329"/>
      <c r="E21" s="14">
        <v>16</v>
      </c>
      <c r="F21" s="29" t="s">
        <v>30</v>
      </c>
      <c r="G21" s="27">
        <v>35182</v>
      </c>
      <c r="H21" s="13"/>
    </row>
    <row r="22" spans="1:14" ht="33.75" customHeight="1">
      <c r="A22" s="329" t="s">
        <v>38</v>
      </c>
      <c r="B22" s="329"/>
      <c r="C22" s="329"/>
      <c r="D22" s="329"/>
      <c r="E22" s="30">
        <v>17</v>
      </c>
      <c r="F22" s="26" t="s">
        <v>30</v>
      </c>
      <c r="G22" s="27">
        <v>0</v>
      </c>
      <c r="H22" s="13"/>
    </row>
    <row r="23" spans="1:14" ht="30.75" customHeight="1">
      <c r="A23" s="329" t="s">
        <v>39</v>
      </c>
      <c r="B23" s="329"/>
      <c r="C23" s="329"/>
      <c r="D23" s="329"/>
      <c r="E23" s="14">
        <v>18</v>
      </c>
      <c r="F23" s="29" t="s">
        <v>30</v>
      </c>
      <c r="G23" s="27">
        <v>870</v>
      </c>
      <c r="H23" s="13"/>
      <c r="M23" s="18"/>
      <c r="N23" s="24"/>
    </row>
    <row r="24" spans="1:14" ht="30.75" customHeight="1">
      <c r="A24" s="321" t="s">
        <v>40</v>
      </c>
      <c r="B24" s="321"/>
      <c r="C24" s="321"/>
      <c r="D24" s="321"/>
      <c r="E24" s="31">
        <v>19</v>
      </c>
      <c r="F24" s="26" t="s">
        <v>30</v>
      </c>
      <c r="G24" s="23">
        <v>2196.9</v>
      </c>
      <c r="H24" s="13"/>
    </row>
    <row r="25" spans="1:14" ht="15.75" customHeight="1">
      <c r="A25" s="328" t="s">
        <v>41</v>
      </c>
      <c r="B25" s="328"/>
      <c r="C25" s="328"/>
      <c r="D25" s="328"/>
      <c r="E25" s="14">
        <v>20</v>
      </c>
      <c r="F25" s="26" t="s">
        <v>30</v>
      </c>
      <c r="G25" s="27">
        <v>1910</v>
      </c>
      <c r="H25" s="13"/>
    </row>
    <row r="26" spans="1:14" ht="39.75" customHeight="1">
      <c r="A26" s="332" t="s">
        <v>42</v>
      </c>
      <c r="B26" s="332"/>
      <c r="C26" s="332"/>
      <c r="D26" s="332"/>
      <c r="E26" s="32">
        <v>21</v>
      </c>
      <c r="F26" s="33" t="s">
        <v>30</v>
      </c>
      <c r="G26" s="34">
        <v>8</v>
      </c>
      <c r="H26" s="13"/>
    </row>
    <row r="27" spans="1:14" ht="39.75" customHeight="1">
      <c r="A27" s="35"/>
      <c r="B27" s="35"/>
      <c r="C27" s="35"/>
      <c r="D27" s="35"/>
      <c r="E27" s="36"/>
      <c r="F27" s="37"/>
      <c r="G27" s="38"/>
      <c r="H27" s="39"/>
      <c r="I27">
        <f>6410*0.37</f>
        <v>2371.6999999999998</v>
      </c>
    </row>
    <row r="28" spans="1:14" ht="39.75" customHeight="1">
      <c r="A28" s="324" t="s">
        <v>43</v>
      </c>
      <c r="B28" s="324"/>
      <c r="C28" s="324"/>
      <c r="D28" s="324"/>
      <c r="E28" s="14"/>
      <c r="F28" s="22" t="s">
        <v>30</v>
      </c>
      <c r="G28" s="40"/>
      <c r="H28" s="13">
        <v>192.1</v>
      </c>
      <c r="I28" s="18">
        <f>6410*0.37*27*3</f>
        <v>192107.69999999998</v>
      </c>
      <c r="J28" s="24">
        <f>I28*17.19%</f>
        <v>33023.313630000004</v>
      </c>
    </row>
    <row r="29" spans="1:14" ht="39.75" customHeight="1">
      <c r="A29" s="333" t="s">
        <v>44</v>
      </c>
      <c r="B29" s="333"/>
      <c r="C29" s="333"/>
      <c r="D29" s="333"/>
      <c r="E29" s="14"/>
      <c r="F29" s="22" t="s">
        <v>45</v>
      </c>
      <c r="G29" s="40"/>
      <c r="H29" s="13">
        <v>33</v>
      </c>
      <c r="I29" s="24" t="s">
        <v>46</v>
      </c>
      <c r="J29" t="s">
        <v>47</v>
      </c>
    </row>
    <row r="30" spans="1:14" ht="39.75" customHeight="1">
      <c r="A30" s="35"/>
      <c r="B30" s="35"/>
      <c r="C30" s="35"/>
      <c r="D30" s="35"/>
      <c r="E30" s="36"/>
      <c r="F30" s="37"/>
      <c r="G30" s="38"/>
      <c r="H30" s="39"/>
    </row>
    <row r="31" spans="1:14" ht="39.75" customHeight="1">
      <c r="A31" s="35"/>
      <c r="B31" s="35"/>
      <c r="C31" s="35"/>
      <c r="D31" s="35"/>
      <c r="E31" s="36"/>
      <c r="F31" s="37"/>
      <c r="G31" s="38"/>
      <c r="H31" s="39"/>
    </row>
    <row r="32" spans="1:14" ht="39.75" customHeight="1">
      <c r="A32" s="35"/>
      <c r="B32" s="35"/>
      <c r="C32" s="35"/>
      <c r="D32" s="35"/>
      <c r="E32" s="36"/>
      <c r="F32" s="37"/>
      <c r="G32" s="38"/>
      <c r="H32" s="39"/>
    </row>
    <row r="33" spans="1:8" ht="39.75" customHeight="1">
      <c r="A33" s="35"/>
      <c r="B33" s="35"/>
      <c r="C33" s="35"/>
      <c r="D33" s="35"/>
      <c r="E33" s="36"/>
      <c r="F33" s="37"/>
      <c r="G33" s="38"/>
      <c r="H33" s="39"/>
    </row>
    <row r="34" spans="1:8" ht="39.75" customHeight="1">
      <c r="A34" s="35"/>
      <c r="B34" s="35"/>
      <c r="C34" s="35"/>
      <c r="D34" s="35"/>
      <c r="E34" s="36"/>
      <c r="F34" s="37"/>
      <c r="G34" s="38"/>
      <c r="H34" s="39"/>
    </row>
    <row r="35" spans="1:8" ht="39.75" customHeight="1">
      <c r="A35" s="35"/>
      <c r="B35" s="35"/>
      <c r="C35" s="35"/>
      <c r="D35" s="35"/>
      <c r="E35" s="36"/>
      <c r="F35" s="37"/>
      <c r="G35" s="38"/>
      <c r="H35" s="39"/>
    </row>
    <row r="36" spans="1:8" ht="39.75" customHeight="1">
      <c r="A36" s="35"/>
      <c r="B36" s="35"/>
      <c r="C36" s="35"/>
      <c r="D36" s="35"/>
      <c r="E36" s="36"/>
      <c r="F36" s="37"/>
      <c r="G36" s="38"/>
      <c r="H36" s="39"/>
    </row>
    <row r="37" spans="1:8" ht="39.75" customHeight="1">
      <c r="A37" s="35"/>
      <c r="B37" s="35"/>
      <c r="C37" s="35"/>
      <c r="D37" s="35"/>
      <c r="E37" s="36"/>
      <c r="F37" s="37"/>
      <c r="G37" s="38"/>
      <c r="H37" s="39"/>
    </row>
    <row r="38" spans="1:8">
      <c r="A38" s="41"/>
      <c r="B38" s="41"/>
      <c r="C38" s="41"/>
      <c r="D38" s="41"/>
      <c r="E38" s="41"/>
      <c r="F38" s="41"/>
      <c r="G38" s="41"/>
    </row>
    <row r="39" spans="1:8" ht="14.25" customHeight="1">
      <c r="A39" s="330" t="s">
        <v>48</v>
      </c>
      <c r="B39" s="330"/>
      <c r="C39" s="42"/>
      <c r="D39" s="43" t="s">
        <v>49</v>
      </c>
      <c r="E39" s="44"/>
      <c r="F39" s="330" t="s">
        <v>50</v>
      </c>
      <c r="G39" s="330"/>
    </row>
    <row r="40" spans="1:8">
      <c r="A40" s="45" t="s">
        <v>51</v>
      </c>
      <c r="B40" s="45"/>
      <c r="C40" s="45"/>
      <c r="D40" s="46" t="s">
        <v>52</v>
      </c>
      <c r="E40" s="47"/>
      <c r="F40" s="331" t="s">
        <v>53</v>
      </c>
      <c r="G40" s="331"/>
    </row>
    <row r="41" spans="1:8">
      <c r="A41" s="45" t="s">
        <v>54</v>
      </c>
      <c r="B41" s="45"/>
      <c r="C41" s="45"/>
      <c r="D41" s="48"/>
      <c r="E41" s="48"/>
      <c r="F41" s="41"/>
      <c r="G41" s="47"/>
    </row>
    <row r="42" spans="1:8">
      <c r="A42" s="41"/>
      <c r="B42" s="41"/>
      <c r="C42" s="41"/>
      <c r="D42" s="41"/>
      <c r="E42" s="41"/>
      <c r="F42" s="41"/>
      <c r="G42" s="41"/>
    </row>
  </sheetData>
  <mergeCells count="31">
    <mergeCell ref="F39:G39"/>
    <mergeCell ref="F40:G40"/>
    <mergeCell ref="A25:D25"/>
    <mergeCell ref="A26:D26"/>
    <mergeCell ref="A28:D28"/>
    <mergeCell ref="A29:D29"/>
    <mergeCell ref="A39:B3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9:D9"/>
    <mergeCell ref="A10:A14"/>
    <mergeCell ref="B10:D10"/>
    <mergeCell ref="C11:D11"/>
    <mergeCell ref="B12:D12"/>
    <mergeCell ref="C13:D13"/>
    <mergeCell ref="B14:C14"/>
    <mergeCell ref="A2:F2"/>
    <mergeCell ref="A4:E4"/>
    <mergeCell ref="A5:E5"/>
    <mergeCell ref="A6:D6"/>
    <mergeCell ref="A7:A8"/>
    <mergeCell ref="B7:D7"/>
    <mergeCell ref="B8:D8"/>
  </mergeCells>
  <conditionalFormatting sqref="G8">
    <cfRule type="cellIs" dxfId="19" priority="2" operator="greaterThan">
      <formula>$G$7</formula>
    </cfRule>
  </conditionalFormatting>
  <conditionalFormatting sqref="G25">
    <cfRule type="cellIs" dxfId="18" priority="3" operator="greaterThan">
      <formula>$G$24</formula>
    </cfRule>
  </conditionalFormatting>
  <conditionalFormatting sqref="G19">
    <cfRule type="cellIs" dxfId="17" priority="4" operator="greaterThan">
      <formula>$G$18</formula>
    </cfRule>
  </conditionalFormatting>
  <conditionalFormatting sqref="G9">
    <cfRule type="expression" dxfId="16" priority="5">
      <formula>$G$9&lt;$G$10+$G$12</formula>
    </cfRule>
  </conditionalFormatting>
  <conditionalFormatting sqref="G11">
    <cfRule type="expression" dxfId="15" priority="6">
      <formula>$G$10&lt;$G$11</formula>
    </cfRule>
  </conditionalFormatting>
  <conditionalFormatting sqref="G14">
    <cfRule type="expression" dxfId="14" priority="7">
      <formula>$G$14&gt;$G$12</formula>
    </cfRule>
    <cfRule type="expression" dxfId="13" priority="8">
      <formula>$G$14&gt;$G$13</formula>
    </cfRule>
  </conditionalFormatting>
  <conditionalFormatting sqref="G13">
    <cfRule type="expression" dxfId="12" priority="9">
      <formula>$G$13&gt;$G$12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G37" xr:uid="{00000000-0002-0000-0000-000000000000}">
      <formula1>MOD(G16*10,1)=0</formula1>
      <formula2>0</formula2>
    </dataValidation>
    <dataValidation type="custom" allowBlank="1" showInputMessage="1" showErrorMessage="1" errorTitle="Znaki po przecinku" error="Wpisujemy bez miejsc po przecinku." sqref="G7:G15" xr:uid="{00000000-0002-0000-0000-000001000000}">
      <formula1>MOD(G7,1)=0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3">
    <pageSetUpPr fitToPage="1"/>
  </sheetPr>
  <dimension ref="A1:N87"/>
  <sheetViews>
    <sheetView tabSelected="1" topLeftCell="A43" zoomScaleNormal="100" workbookViewId="0">
      <selection activeCell="B46" sqref="B46:E48"/>
    </sheetView>
  </sheetViews>
  <sheetFormatPr defaultRowHeight="12.75"/>
  <cols>
    <col min="1" max="1" width="1" customWidth="1"/>
    <col min="2" max="2" width="5" customWidth="1"/>
    <col min="3" max="3" width="11.85546875" customWidth="1"/>
    <col min="4" max="4" width="31.7109375" customWidth="1"/>
    <col min="5" max="5" width="9.5703125" customWidth="1"/>
    <col min="6" max="9" width="18.7109375" customWidth="1"/>
    <col min="10" max="10" width="19.28515625" customWidth="1"/>
    <col min="11" max="11" width="23.42578125" customWidth="1"/>
    <col min="12" max="1024" width="8.7109375" customWidth="1"/>
  </cols>
  <sheetData>
    <row r="1" spans="2:10" hidden="1"/>
    <row r="2" spans="2:10" ht="22.5" hidden="1" customHeight="1">
      <c r="B2" s="530" t="s">
        <v>381</v>
      </c>
      <c r="C2" s="530"/>
      <c r="D2" s="530"/>
      <c r="E2" s="530"/>
      <c r="F2" s="530"/>
    </row>
    <row r="3" spans="2:10" hidden="1"/>
    <row r="4" spans="2:10" ht="26.25" hidden="1" customHeight="1">
      <c r="B4" s="531" t="s">
        <v>1</v>
      </c>
      <c r="C4" s="531"/>
      <c r="D4" s="531"/>
      <c r="E4" s="531" t="s">
        <v>382</v>
      </c>
      <c r="F4" s="532" t="s">
        <v>383</v>
      </c>
      <c r="G4" s="531" t="s">
        <v>8</v>
      </c>
      <c r="H4" s="531"/>
      <c r="I4" s="531"/>
    </row>
    <row r="5" spans="2:10" ht="26.25" hidden="1" customHeight="1">
      <c r="B5" s="531"/>
      <c r="C5" s="531"/>
      <c r="D5" s="531"/>
      <c r="E5" s="531"/>
      <c r="F5" s="532"/>
      <c r="G5" s="531" t="s">
        <v>384</v>
      </c>
      <c r="H5" s="124" t="s">
        <v>15</v>
      </c>
      <c r="I5" s="533" t="s">
        <v>385</v>
      </c>
    </row>
    <row r="6" spans="2:10" ht="26.25" hidden="1" customHeight="1">
      <c r="B6" s="531"/>
      <c r="C6" s="531"/>
      <c r="D6" s="531"/>
      <c r="E6" s="531"/>
      <c r="F6" s="532"/>
      <c r="G6" s="531"/>
      <c r="H6" s="124" t="s">
        <v>386</v>
      </c>
      <c r="I6" s="533"/>
    </row>
    <row r="7" spans="2:10" hidden="1">
      <c r="B7" s="339">
        <v>1</v>
      </c>
      <c r="C7" s="339"/>
      <c r="D7" s="339"/>
      <c r="E7" s="56">
        <v>2</v>
      </c>
      <c r="F7" s="56">
        <v>3</v>
      </c>
      <c r="G7" s="56">
        <v>4</v>
      </c>
      <c r="H7" s="56">
        <v>5</v>
      </c>
      <c r="I7" s="56">
        <v>6</v>
      </c>
    </row>
    <row r="8" spans="2:10" ht="21.75" hidden="1" customHeight="1">
      <c r="B8" s="536" t="s">
        <v>421</v>
      </c>
      <c r="C8" s="536"/>
      <c r="D8" s="536"/>
      <c r="E8" s="536"/>
      <c r="F8" s="536"/>
      <c r="G8" s="536"/>
      <c r="H8" s="536"/>
      <c r="I8" s="536"/>
    </row>
    <row r="9" spans="2:10" ht="31.5" hidden="1" customHeight="1">
      <c r="B9" s="537" t="s">
        <v>387</v>
      </c>
      <c r="C9" s="537"/>
      <c r="D9" s="538" t="s">
        <v>6</v>
      </c>
      <c r="E9" s="539">
        <f>E11+E16</f>
        <v>0</v>
      </c>
      <c r="F9" s="539">
        <f>G9+I9</f>
        <v>0</v>
      </c>
      <c r="G9" s="539">
        <f>G11+G16</f>
        <v>0</v>
      </c>
      <c r="H9" s="539">
        <f>H11+H16</f>
        <v>0</v>
      </c>
      <c r="I9" s="539">
        <f>I16+I11</f>
        <v>0</v>
      </c>
    </row>
    <row r="10" spans="2:10" ht="15.75" hidden="1" customHeight="1">
      <c r="B10" s="537"/>
      <c r="C10" s="537"/>
      <c r="D10" s="538"/>
      <c r="E10" s="539"/>
      <c r="F10" s="539"/>
      <c r="G10" s="539"/>
      <c r="H10" s="539"/>
      <c r="I10" s="539"/>
    </row>
    <row r="11" spans="2:10" ht="36" hidden="1" customHeight="1">
      <c r="B11" s="534" t="s">
        <v>388</v>
      </c>
      <c r="C11" s="534"/>
      <c r="D11" s="125" t="s">
        <v>10</v>
      </c>
      <c r="E11" s="61">
        <f>E12+E13+E15+E14</f>
        <v>0</v>
      </c>
      <c r="F11" s="61">
        <f t="shared" ref="F11:F16" si="0">G11+I11</f>
        <v>0</v>
      </c>
      <c r="G11" s="61">
        <f>G12+G13+G15+G14</f>
        <v>0</v>
      </c>
      <c r="H11" s="61"/>
      <c r="I11" s="61">
        <f>I12+I13+I15+I14</f>
        <v>0</v>
      </c>
    </row>
    <row r="12" spans="2:10" ht="35.1" hidden="1" customHeight="1">
      <c r="B12" s="533" t="s">
        <v>389</v>
      </c>
      <c r="C12" s="126" t="s">
        <v>390</v>
      </c>
      <c r="D12" s="125" t="s">
        <v>12</v>
      </c>
      <c r="E12" s="61"/>
      <c r="F12" s="61">
        <f t="shared" si="0"/>
        <v>0</v>
      </c>
      <c r="G12" s="61"/>
      <c r="H12" s="127"/>
      <c r="I12" s="128"/>
      <c r="J12" s="24"/>
    </row>
    <row r="13" spans="2:10" ht="35.1" hidden="1" customHeight="1">
      <c r="B13" s="533"/>
      <c r="C13" s="129" t="s">
        <v>422</v>
      </c>
      <c r="D13" s="125" t="s">
        <v>14</v>
      </c>
      <c r="E13" s="61"/>
      <c r="F13" s="61">
        <f>G13+I13</f>
        <v>0</v>
      </c>
      <c r="G13" s="61"/>
      <c r="H13" s="127"/>
      <c r="I13" s="128"/>
      <c r="J13" s="24"/>
    </row>
    <row r="14" spans="2:10" s="49" customFormat="1" ht="35.1" hidden="1" customHeight="1">
      <c r="B14" s="533"/>
      <c r="C14" s="129" t="s">
        <v>423</v>
      </c>
      <c r="D14" s="125" t="s">
        <v>17</v>
      </c>
      <c r="E14" s="61"/>
      <c r="F14" s="61">
        <f>G14+I14</f>
        <v>0</v>
      </c>
      <c r="G14" s="61"/>
      <c r="H14" s="127"/>
      <c r="I14" s="128"/>
      <c r="J14" s="24"/>
    </row>
    <row r="15" spans="2:10" ht="35.1" hidden="1" customHeight="1">
      <c r="B15" s="533"/>
      <c r="C15" s="129" t="s">
        <v>424</v>
      </c>
      <c r="D15" s="125" t="s">
        <v>19</v>
      </c>
      <c r="E15" s="61"/>
      <c r="F15" s="61">
        <f t="shared" si="0"/>
        <v>0</v>
      </c>
      <c r="G15" s="61"/>
      <c r="H15" s="127"/>
      <c r="I15" s="128"/>
      <c r="J15" s="24"/>
    </row>
    <row r="16" spans="2:10" ht="35.1" hidden="1" customHeight="1">
      <c r="B16" s="535" t="s">
        <v>393</v>
      </c>
      <c r="C16" s="535"/>
      <c r="D16" s="125" t="s">
        <v>21</v>
      </c>
      <c r="E16" s="130"/>
      <c r="F16" s="130">
        <f t="shared" si="0"/>
        <v>0</v>
      </c>
      <c r="G16" s="130"/>
      <c r="H16" s="130"/>
      <c r="I16" s="131"/>
    </row>
    <row r="17" spans="2:9" hidden="1"/>
    <row r="18" spans="2:9" hidden="1">
      <c r="F18" s="98"/>
      <c r="G18" s="98"/>
    </row>
    <row r="19" spans="2:9" hidden="1">
      <c r="C19" s="64"/>
      <c r="D19" s="64"/>
      <c r="E19" s="64" t="s">
        <v>56</v>
      </c>
      <c r="F19" s="134" t="e">
        <f>F16-#REF!</f>
        <v>#REF!</v>
      </c>
      <c r="G19" s="134" t="e">
        <f>G16-#REF!</f>
        <v>#REF!</v>
      </c>
    </row>
    <row r="20" spans="2:9" hidden="1"/>
    <row r="21" spans="2:9" ht="15.75" hidden="1" customHeight="1">
      <c r="B21" s="531" t="s">
        <v>1</v>
      </c>
      <c r="C21" s="531"/>
      <c r="D21" s="531"/>
      <c r="E21" s="531" t="s">
        <v>382</v>
      </c>
      <c r="F21" s="532" t="s">
        <v>383</v>
      </c>
      <c r="G21" s="531" t="s">
        <v>8</v>
      </c>
      <c r="H21" s="531"/>
      <c r="I21" s="531"/>
    </row>
    <row r="22" spans="2:9" ht="15.75" hidden="1" customHeight="1">
      <c r="B22" s="531"/>
      <c r="C22" s="531"/>
      <c r="D22" s="531"/>
      <c r="E22" s="531"/>
      <c r="F22" s="532"/>
      <c r="G22" s="531" t="s">
        <v>384</v>
      </c>
      <c r="H22" s="124" t="s">
        <v>15</v>
      </c>
      <c r="I22" s="533" t="s">
        <v>385</v>
      </c>
    </row>
    <row r="23" spans="2:9" ht="15.75" hidden="1">
      <c r="B23" s="531"/>
      <c r="C23" s="531"/>
      <c r="D23" s="531"/>
      <c r="E23" s="531"/>
      <c r="F23" s="532"/>
      <c r="G23" s="531"/>
      <c r="H23" s="124" t="s">
        <v>386</v>
      </c>
      <c r="I23" s="533"/>
    </row>
    <row r="24" spans="2:9" hidden="1">
      <c r="B24" s="339">
        <v>1</v>
      </c>
      <c r="C24" s="339"/>
      <c r="D24" s="339"/>
      <c r="E24" s="56">
        <v>2</v>
      </c>
      <c r="F24" s="56">
        <v>3</v>
      </c>
      <c r="G24" s="56">
        <v>4</v>
      </c>
      <c r="H24" s="56">
        <v>5</v>
      </c>
      <c r="I24" s="56">
        <v>6</v>
      </c>
    </row>
    <row r="25" spans="2:9" ht="15.75" hidden="1">
      <c r="B25" s="536" t="s">
        <v>4</v>
      </c>
      <c r="C25" s="536"/>
      <c r="D25" s="536"/>
      <c r="E25" s="536"/>
      <c r="F25" s="536"/>
      <c r="G25" s="536"/>
      <c r="H25" s="536"/>
      <c r="I25" s="536"/>
    </row>
    <row r="26" spans="2:9" hidden="1">
      <c r="B26" s="537" t="s">
        <v>387</v>
      </c>
      <c r="C26" s="537"/>
      <c r="D26" s="538" t="s">
        <v>6</v>
      </c>
      <c r="E26" s="541">
        <f>E28+E32</f>
        <v>0</v>
      </c>
      <c r="F26" s="539">
        <f>G26+I26</f>
        <v>0</v>
      </c>
      <c r="G26" s="539">
        <f>G28+G32</f>
        <v>0</v>
      </c>
      <c r="H26" s="539">
        <f>H28+H32</f>
        <v>0</v>
      </c>
      <c r="I26" s="539">
        <f>I32+I28</f>
        <v>0</v>
      </c>
    </row>
    <row r="27" spans="2:9" hidden="1">
      <c r="B27" s="537"/>
      <c r="C27" s="537"/>
      <c r="D27" s="538"/>
      <c r="E27" s="541"/>
      <c r="F27" s="539"/>
      <c r="G27" s="539"/>
      <c r="H27" s="539"/>
      <c r="I27" s="539"/>
    </row>
    <row r="28" spans="2:9" ht="28.5" hidden="1" customHeight="1">
      <c r="B28" s="534" t="s">
        <v>388</v>
      </c>
      <c r="C28" s="534"/>
      <c r="D28" s="125" t="s">
        <v>10</v>
      </c>
      <c r="E28" s="58">
        <f>E29+E30+E31</f>
        <v>0</v>
      </c>
      <c r="F28" s="61">
        <f t="shared" ref="F28:F34" si="1">G28+I28</f>
        <v>0</v>
      </c>
      <c r="G28" s="61">
        <f>G29+G30+G31</f>
        <v>0</v>
      </c>
      <c r="H28" s="61"/>
      <c r="I28" s="61">
        <f>I29+I30+I31</f>
        <v>0</v>
      </c>
    </row>
    <row r="29" spans="2:9" ht="30" hidden="1" customHeight="1">
      <c r="B29" s="533" t="s">
        <v>389</v>
      </c>
      <c r="C29" s="126" t="s">
        <v>390</v>
      </c>
      <c r="D29" s="125" t="s">
        <v>12</v>
      </c>
      <c r="E29" s="58"/>
      <c r="F29" s="61">
        <f t="shared" si="1"/>
        <v>0</v>
      </c>
      <c r="G29" s="61"/>
      <c r="H29" s="127"/>
      <c r="I29" s="128"/>
    </row>
    <row r="30" spans="2:9" ht="78.75" hidden="1">
      <c r="B30" s="533"/>
      <c r="C30" s="129" t="s">
        <v>391</v>
      </c>
      <c r="D30" s="125" t="s">
        <v>14</v>
      </c>
      <c r="E30" s="58"/>
      <c r="F30" s="61">
        <f t="shared" si="1"/>
        <v>0</v>
      </c>
      <c r="G30" s="61"/>
      <c r="H30" s="127"/>
      <c r="I30" s="128"/>
    </row>
    <row r="31" spans="2:9" ht="78.75" hidden="1">
      <c r="B31" s="533"/>
      <c r="C31" s="129" t="s">
        <v>392</v>
      </c>
      <c r="D31" s="125" t="s">
        <v>17</v>
      </c>
      <c r="E31" s="58"/>
      <c r="F31" s="61">
        <f t="shared" si="1"/>
        <v>0</v>
      </c>
      <c r="G31" s="61"/>
      <c r="H31" s="127"/>
      <c r="I31" s="128"/>
    </row>
    <row r="32" spans="2:9" ht="37.5" hidden="1" customHeight="1">
      <c r="B32" s="535" t="s">
        <v>393</v>
      </c>
      <c r="C32" s="535"/>
      <c r="D32" s="125" t="s">
        <v>19</v>
      </c>
      <c r="E32" s="65"/>
      <c r="F32" s="130">
        <f t="shared" si="1"/>
        <v>0</v>
      </c>
      <c r="G32" s="130"/>
      <c r="H32" s="130"/>
      <c r="I32" s="131"/>
    </row>
    <row r="33" spans="1:11" ht="28.5" hidden="1" customHeight="1">
      <c r="B33" s="132" t="s">
        <v>15</v>
      </c>
      <c r="C33" s="132" t="s">
        <v>394</v>
      </c>
      <c r="D33" s="125" t="s">
        <v>21</v>
      </c>
      <c r="E33" s="58"/>
      <c r="F33" s="61">
        <f t="shared" si="1"/>
        <v>0</v>
      </c>
      <c r="G33" s="61"/>
      <c r="H33" s="127"/>
      <c r="I33" s="61"/>
    </row>
    <row r="34" spans="1:11" ht="48" hidden="1" customHeight="1">
      <c r="B34" s="540" t="s">
        <v>395</v>
      </c>
      <c r="C34" s="540"/>
      <c r="D34" s="133" t="s">
        <v>24</v>
      </c>
      <c r="E34" s="127"/>
      <c r="F34" s="61">
        <f t="shared" si="1"/>
        <v>0</v>
      </c>
      <c r="G34" s="61"/>
      <c r="H34" s="127"/>
      <c r="I34" s="61"/>
    </row>
    <row r="35" spans="1:11" hidden="1"/>
    <row r="36" spans="1:11" hidden="1">
      <c r="E36" s="64"/>
      <c r="F36" s="64"/>
      <c r="G36" s="64"/>
    </row>
    <row r="37" spans="1:11" hidden="1">
      <c r="E37" s="64" t="s">
        <v>56</v>
      </c>
      <c r="F37" s="134">
        <f>F32-F33</f>
        <v>0</v>
      </c>
      <c r="G37" s="64"/>
    </row>
    <row r="38" spans="1:11" hidden="1">
      <c r="F38" s="98"/>
    </row>
    <row r="39" spans="1:11" hidden="1">
      <c r="F39" s="78">
        <f>F32-F33</f>
        <v>0</v>
      </c>
      <c r="G39" t="s">
        <v>396</v>
      </c>
    </row>
    <row r="40" spans="1:11" hidden="1">
      <c r="F40" s="78">
        <f>F26-F39</f>
        <v>0</v>
      </c>
      <c r="G40" t="s">
        <v>397</v>
      </c>
    </row>
    <row r="41" spans="1:11" hidden="1"/>
    <row r="42" spans="1:11" hidden="1"/>
    <row r="43" spans="1:11" s="188" customFormat="1">
      <c r="A43" s="120" t="s">
        <v>81</v>
      </c>
      <c r="B43" s="121"/>
      <c r="C43" s="121"/>
      <c r="D43" s="122"/>
      <c r="E43" s="122"/>
      <c r="G43" s="158"/>
    </row>
    <row r="44" spans="1:11" ht="18.75">
      <c r="B44" s="542" t="s">
        <v>435</v>
      </c>
      <c r="C44" s="542"/>
      <c r="D44" s="542"/>
      <c r="E44" s="542"/>
      <c r="F44" s="542"/>
      <c r="G44" s="542"/>
      <c r="H44" s="542"/>
      <c r="I44" s="542"/>
      <c r="J44" s="542"/>
      <c r="K44" s="542"/>
    </row>
    <row r="45" spans="1:11" ht="16.5" thickBot="1">
      <c r="B45" s="5"/>
      <c r="C45" s="5"/>
      <c r="D45" s="168"/>
      <c r="E45" s="168"/>
      <c r="F45" s="168"/>
      <c r="G45" s="168"/>
      <c r="H45" s="168"/>
      <c r="I45" s="168"/>
      <c r="J45" s="168"/>
      <c r="K45" s="168"/>
    </row>
    <row r="46" spans="1:11" ht="16.5" customHeight="1" thickBot="1">
      <c r="B46" s="543" t="s">
        <v>1</v>
      </c>
      <c r="C46" s="544"/>
      <c r="D46" s="544"/>
      <c r="E46" s="545"/>
      <c r="F46" s="488" t="s">
        <v>382</v>
      </c>
      <c r="G46" s="490" t="s">
        <v>436</v>
      </c>
      <c r="H46" s="492" t="s">
        <v>8</v>
      </c>
      <c r="I46" s="492"/>
      <c r="J46" s="492"/>
      <c r="K46" s="493"/>
    </row>
    <row r="47" spans="1:11" ht="16.5" customHeight="1" thickBot="1">
      <c r="B47" s="546"/>
      <c r="C47" s="495"/>
      <c r="D47" s="495"/>
      <c r="E47" s="496"/>
      <c r="F47" s="489"/>
      <c r="G47" s="491"/>
      <c r="H47" s="494" t="s">
        <v>384</v>
      </c>
      <c r="I47" s="495" t="s">
        <v>15</v>
      </c>
      <c r="J47" s="496"/>
      <c r="K47" s="497" t="s">
        <v>385</v>
      </c>
    </row>
    <row r="48" spans="1:11" ht="31.5">
      <c r="B48" s="546"/>
      <c r="C48" s="495"/>
      <c r="D48" s="495"/>
      <c r="E48" s="496"/>
      <c r="F48" s="489"/>
      <c r="G48" s="491"/>
      <c r="H48" s="494"/>
      <c r="I48" s="296" t="s">
        <v>437</v>
      </c>
      <c r="J48" s="297" t="s">
        <v>386</v>
      </c>
      <c r="K48" s="498"/>
    </row>
    <row r="49" spans="2:11" ht="15.75">
      <c r="B49" s="499">
        <v>1</v>
      </c>
      <c r="C49" s="500"/>
      <c r="D49" s="500"/>
      <c r="E49" s="501"/>
      <c r="F49" s="298">
        <v>2</v>
      </c>
      <c r="G49" s="299">
        <v>3</v>
      </c>
      <c r="H49" s="300">
        <v>4</v>
      </c>
      <c r="I49" s="299">
        <v>5</v>
      </c>
      <c r="J49" s="299">
        <v>6</v>
      </c>
      <c r="K49" s="301">
        <v>7</v>
      </c>
    </row>
    <row r="50" spans="2:11" ht="18.75" customHeight="1">
      <c r="B50" s="502" t="s">
        <v>468</v>
      </c>
      <c r="C50" s="503"/>
      <c r="D50" s="503"/>
      <c r="E50" s="503"/>
      <c r="F50" s="503"/>
      <c r="G50" s="503"/>
      <c r="H50" s="503"/>
      <c r="I50" s="503"/>
      <c r="J50" s="503"/>
      <c r="K50" s="504"/>
    </row>
    <row r="51" spans="2:11" ht="18" customHeight="1">
      <c r="B51" s="505" t="s">
        <v>438</v>
      </c>
      <c r="C51" s="506"/>
      <c r="D51" s="506"/>
      <c r="E51" s="302" t="s">
        <v>6</v>
      </c>
      <c r="F51" s="303">
        <v>1220</v>
      </c>
      <c r="G51" s="304">
        <v>102350.39999999999</v>
      </c>
      <c r="H51" s="304">
        <v>95127.200000000012</v>
      </c>
      <c r="I51" s="304">
        <v>10653.900000000001</v>
      </c>
      <c r="J51" s="304">
        <v>1602.5</v>
      </c>
      <c r="K51" s="305">
        <v>7223.2</v>
      </c>
    </row>
    <row r="52" spans="2:11" ht="18" customHeight="1">
      <c r="B52" s="507" t="s">
        <v>8</v>
      </c>
      <c r="C52" s="506" t="s">
        <v>388</v>
      </c>
      <c r="D52" s="506"/>
      <c r="E52" s="302" t="s">
        <v>10</v>
      </c>
      <c r="F52" s="304">
        <v>748</v>
      </c>
      <c r="G52" s="304">
        <v>73194.099999999991</v>
      </c>
      <c r="H52" s="304">
        <v>68065.600000000006</v>
      </c>
      <c r="I52" s="304">
        <v>7521.1</v>
      </c>
      <c r="J52" s="306">
        <v>1334.6</v>
      </c>
      <c r="K52" s="305">
        <v>5128.5</v>
      </c>
    </row>
    <row r="53" spans="2:11" ht="18" customHeight="1">
      <c r="B53" s="508"/>
      <c r="C53" s="510" t="s">
        <v>439</v>
      </c>
      <c r="D53" s="307" t="s">
        <v>390</v>
      </c>
      <c r="E53" s="302" t="s">
        <v>12</v>
      </c>
      <c r="F53" s="308">
        <v>78</v>
      </c>
      <c r="G53" s="309">
        <v>12956.9</v>
      </c>
      <c r="H53" s="308">
        <v>12136.3</v>
      </c>
      <c r="I53" s="308">
        <v>1413.8</v>
      </c>
      <c r="J53" s="310"/>
      <c r="K53" s="311">
        <v>820.6</v>
      </c>
    </row>
    <row r="54" spans="2:11" ht="18">
      <c r="B54" s="508"/>
      <c r="C54" s="510"/>
      <c r="D54" s="307" t="s">
        <v>422</v>
      </c>
      <c r="E54" s="302" t="s">
        <v>14</v>
      </c>
      <c r="F54" s="308">
        <v>142</v>
      </c>
      <c r="G54" s="309">
        <v>17434.599999999999</v>
      </c>
      <c r="H54" s="308">
        <v>16255</v>
      </c>
      <c r="I54" s="308">
        <v>1956.3</v>
      </c>
      <c r="J54" s="310"/>
      <c r="K54" s="311">
        <v>1179.5999999999999</v>
      </c>
    </row>
    <row r="55" spans="2:11" ht="18">
      <c r="B55" s="508"/>
      <c r="C55" s="510"/>
      <c r="D55" s="307" t="s">
        <v>423</v>
      </c>
      <c r="E55" s="302" t="s">
        <v>17</v>
      </c>
      <c r="F55" s="308">
        <v>328</v>
      </c>
      <c r="G55" s="309">
        <v>30196.2</v>
      </c>
      <c r="H55" s="308">
        <v>27939.7</v>
      </c>
      <c r="I55" s="308">
        <v>3297.7</v>
      </c>
      <c r="J55" s="310"/>
      <c r="K55" s="311">
        <v>2256.5</v>
      </c>
    </row>
    <row r="56" spans="2:11" ht="18">
      <c r="B56" s="508"/>
      <c r="C56" s="510"/>
      <c r="D56" s="307" t="s">
        <v>424</v>
      </c>
      <c r="E56" s="302" t="s">
        <v>19</v>
      </c>
      <c r="F56" s="308">
        <v>200</v>
      </c>
      <c r="G56" s="309">
        <v>12606.4</v>
      </c>
      <c r="H56" s="308">
        <v>11734.6</v>
      </c>
      <c r="I56" s="308">
        <v>853.3</v>
      </c>
      <c r="J56" s="310"/>
      <c r="K56" s="311">
        <v>871.8</v>
      </c>
    </row>
    <row r="57" spans="2:11" ht="34.5" customHeight="1" thickBot="1">
      <c r="B57" s="509"/>
      <c r="C57" s="511" t="s">
        <v>393</v>
      </c>
      <c r="D57" s="511"/>
      <c r="E57" s="312" t="s">
        <v>21</v>
      </c>
      <c r="F57" s="313">
        <v>472</v>
      </c>
      <c r="G57" s="314">
        <v>29156.3</v>
      </c>
      <c r="H57" s="315">
        <v>27061.599999999999</v>
      </c>
      <c r="I57" s="315">
        <v>3132.8</v>
      </c>
      <c r="J57" s="316">
        <v>267.89999999999998</v>
      </c>
      <c r="K57" s="317">
        <v>2094.6999999999998</v>
      </c>
    </row>
    <row r="61" spans="2:11" ht="18.75">
      <c r="B61" s="548" t="s">
        <v>435</v>
      </c>
      <c r="C61" s="548"/>
      <c r="D61" s="548"/>
      <c r="E61" s="548"/>
      <c r="F61" s="548"/>
      <c r="G61" s="548"/>
      <c r="H61" s="548"/>
      <c r="I61" s="548"/>
      <c r="J61" s="548"/>
      <c r="K61" s="548"/>
    </row>
    <row r="62" spans="2:11" ht="16.5" thickBot="1">
      <c r="B62" s="214"/>
      <c r="C62" s="214"/>
      <c r="D62" s="215"/>
      <c r="E62" s="215"/>
      <c r="F62" s="215"/>
      <c r="G62" s="215"/>
      <c r="H62" s="215"/>
      <c r="I62" s="215"/>
      <c r="J62" s="215"/>
      <c r="K62" s="215"/>
    </row>
    <row r="63" spans="2:11" ht="15.75">
      <c r="B63" s="549" t="s">
        <v>1</v>
      </c>
      <c r="C63" s="550"/>
      <c r="D63" s="550"/>
      <c r="E63" s="551"/>
      <c r="F63" s="558" t="s">
        <v>382</v>
      </c>
      <c r="G63" s="561" t="s">
        <v>436</v>
      </c>
      <c r="H63" s="564" t="s">
        <v>8</v>
      </c>
      <c r="I63" s="565"/>
      <c r="J63" s="565"/>
      <c r="K63" s="566"/>
    </row>
    <row r="64" spans="2:11" ht="15.75">
      <c r="B64" s="552"/>
      <c r="C64" s="553"/>
      <c r="D64" s="553"/>
      <c r="E64" s="554"/>
      <c r="F64" s="559"/>
      <c r="G64" s="562"/>
      <c r="H64" s="567" t="s">
        <v>384</v>
      </c>
      <c r="I64" s="568" t="s">
        <v>15</v>
      </c>
      <c r="J64" s="569"/>
      <c r="K64" s="570" t="s">
        <v>385</v>
      </c>
    </row>
    <row r="65" spans="2:14" ht="31.5">
      <c r="B65" s="555"/>
      <c r="C65" s="556"/>
      <c r="D65" s="556"/>
      <c r="E65" s="557"/>
      <c r="F65" s="560"/>
      <c r="G65" s="563"/>
      <c r="H65" s="560"/>
      <c r="I65" s="216" t="s">
        <v>437</v>
      </c>
      <c r="J65" s="217" t="s">
        <v>386</v>
      </c>
      <c r="K65" s="571"/>
    </row>
    <row r="66" spans="2:14" ht="15.75">
      <c r="B66" s="512">
        <v>1</v>
      </c>
      <c r="C66" s="513"/>
      <c r="D66" s="513"/>
      <c r="E66" s="514"/>
      <c r="F66" s="218">
        <v>2</v>
      </c>
      <c r="G66" s="219">
        <v>3</v>
      </c>
      <c r="H66" s="220">
        <v>4</v>
      </c>
      <c r="I66" s="219">
        <v>5</v>
      </c>
      <c r="J66" s="219">
        <v>6</v>
      </c>
      <c r="K66" s="221">
        <v>7</v>
      </c>
    </row>
    <row r="67" spans="2:14" ht="18.75">
      <c r="B67" s="515" t="s">
        <v>465</v>
      </c>
      <c r="C67" s="516"/>
      <c r="D67" s="516"/>
      <c r="E67" s="516"/>
      <c r="F67" s="516"/>
      <c r="G67" s="516"/>
      <c r="H67" s="516"/>
      <c r="I67" s="516"/>
      <c r="J67" s="516"/>
      <c r="K67" s="517"/>
    </row>
    <row r="68" spans="2:14" ht="18">
      <c r="B68" s="518" t="s">
        <v>438</v>
      </c>
      <c r="C68" s="519"/>
      <c r="D68" s="520"/>
      <c r="E68" s="222" t="s">
        <v>6</v>
      </c>
      <c r="F68" s="223">
        <f t="shared" ref="F68:K68" si="2">F69+F74</f>
        <v>1220</v>
      </c>
      <c r="G68" s="224">
        <v>103400.5</v>
      </c>
      <c r="H68" s="224">
        <v>96177.3</v>
      </c>
      <c r="I68" s="224">
        <f t="shared" si="2"/>
        <v>10860.900000000001</v>
      </c>
      <c r="J68" s="224">
        <f>J69+J74</f>
        <v>1619.2</v>
      </c>
      <c r="K68" s="225">
        <f t="shared" si="2"/>
        <v>7223.2</v>
      </c>
    </row>
    <row r="69" spans="2:14" ht="18">
      <c r="B69" s="521" t="s">
        <v>8</v>
      </c>
      <c r="C69" s="524" t="s">
        <v>388</v>
      </c>
      <c r="D69" s="520"/>
      <c r="E69" s="222" t="s">
        <v>10</v>
      </c>
      <c r="F69" s="224">
        <f>F70+F72+F71+F73</f>
        <v>748</v>
      </c>
      <c r="G69" s="224">
        <v>73833.100000000006</v>
      </c>
      <c r="H69" s="224">
        <v>68704.600000000006</v>
      </c>
      <c r="I69" s="224">
        <f>I70+I72+I71+I73</f>
        <v>7689.1</v>
      </c>
      <c r="J69" s="226">
        <v>1347.2</v>
      </c>
      <c r="K69" s="225">
        <f>K70+K72+K71+K73</f>
        <v>5128.5</v>
      </c>
    </row>
    <row r="70" spans="2:14" ht="18">
      <c r="B70" s="522"/>
      <c r="C70" s="525" t="s">
        <v>439</v>
      </c>
      <c r="D70" s="227" t="s">
        <v>390</v>
      </c>
      <c r="E70" s="222" t="s">
        <v>12</v>
      </c>
      <c r="F70" s="228">
        <v>78</v>
      </c>
      <c r="G70" s="224">
        <v>13196.6</v>
      </c>
      <c r="H70" s="228">
        <v>12376</v>
      </c>
      <c r="I70" s="228">
        <f>1411.8+2+52</f>
        <v>1465.8</v>
      </c>
      <c r="J70" s="229"/>
      <c r="K70" s="230">
        <v>820.6</v>
      </c>
    </row>
    <row r="71" spans="2:14" ht="18">
      <c r="B71" s="522"/>
      <c r="C71" s="526"/>
      <c r="D71" s="227" t="s">
        <v>422</v>
      </c>
      <c r="E71" s="222" t="s">
        <v>14</v>
      </c>
      <c r="F71" s="228">
        <v>142</v>
      </c>
      <c r="G71" s="224">
        <v>17491</v>
      </c>
      <c r="H71" s="228">
        <v>16311.4</v>
      </c>
      <c r="I71" s="228">
        <f>1954.3+2+49.4</f>
        <v>2005.7</v>
      </c>
      <c r="J71" s="229"/>
      <c r="K71" s="230">
        <v>1179.5999999999999</v>
      </c>
    </row>
    <row r="72" spans="2:14" ht="18">
      <c r="B72" s="522"/>
      <c r="C72" s="526"/>
      <c r="D72" s="227" t="s">
        <v>423</v>
      </c>
      <c r="E72" s="222" t="s">
        <v>17</v>
      </c>
      <c r="F72" s="228">
        <v>328</v>
      </c>
      <c r="G72" s="224">
        <v>30286.2</v>
      </c>
      <c r="H72" s="228">
        <v>28029.7</v>
      </c>
      <c r="I72" s="228">
        <f>3291.3+6.4+41.6</f>
        <v>3339.3</v>
      </c>
      <c r="J72" s="229"/>
      <c r="K72" s="230">
        <v>2256.5</v>
      </c>
    </row>
    <row r="73" spans="2:14" ht="18">
      <c r="B73" s="522"/>
      <c r="C73" s="527"/>
      <c r="D73" s="227" t="s">
        <v>424</v>
      </c>
      <c r="E73" s="222" t="s">
        <v>19</v>
      </c>
      <c r="F73" s="228">
        <v>200</v>
      </c>
      <c r="G73" s="224">
        <v>12859.3</v>
      </c>
      <c r="H73" s="228">
        <v>11987.5</v>
      </c>
      <c r="I73" s="228">
        <f>829.6+23.7+25</f>
        <v>878.30000000000007</v>
      </c>
      <c r="J73" s="229"/>
      <c r="K73" s="230">
        <v>871.8</v>
      </c>
    </row>
    <row r="74" spans="2:14" ht="33" customHeight="1" thickBot="1">
      <c r="B74" s="523"/>
      <c r="C74" s="528" t="s">
        <v>393</v>
      </c>
      <c r="D74" s="529"/>
      <c r="E74" s="231" t="s">
        <v>21</v>
      </c>
      <c r="F74" s="232">
        <v>472</v>
      </c>
      <c r="G74" s="233">
        <v>29567.4</v>
      </c>
      <c r="H74" s="234">
        <v>27472.7</v>
      </c>
      <c r="I74" s="234">
        <f>3132.8+39</f>
        <v>3171.8</v>
      </c>
      <c r="J74" s="235">
        <v>272</v>
      </c>
      <c r="K74" s="236">
        <v>2094.6999999999998</v>
      </c>
    </row>
    <row r="75" spans="2:14" ht="15.75">
      <c r="B75" s="214"/>
      <c r="C75" s="214"/>
      <c r="D75" s="215"/>
      <c r="E75" s="215"/>
      <c r="F75" s="215"/>
      <c r="G75" s="215"/>
      <c r="H75" s="215"/>
      <c r="I75" s="215"/>
      <c r="J75" s="215"/>
      <c r="K75" s="215"/>
    </row>
    <row r="76" spans="2:14" s="188" customFormat="1" ht="15.75">
      <c r="B76" s="171" t="s">
        <v>440</v>
      </c>
      <c r="C76" s="5"/>
      <c r="D76" s="168"/>
      <c r="E76" s="168"/>
      <c r="F76" s="168"/>
      <c r="G76" s="168"/>
      <c r="H76" s="168"/>
      <c r="I76" s="168"/>
      <c r="J76" s="168"/>
      <c r="K76" s="168"/>
    </row>
    <row r="77" spans="2:14" s="188" customFormat="1" ht="15.75">
      <c r="B77" s="172" t="s">
        <v>441</v>
      </c>
      <c r="C77" s="5"/>
      <c r="D77" s="168"/>
      <c r="E77" s="168"/>
      <c r="F77" s="168"/>
      <c r="G77" s="168"/>
      <c r="H77" s="168"/>
      <c r="I77" s="168"/>
      <c r="J77" s="168"/>
      <c r="K77" s="168"/>
    </row>
    <row r="78" spans="2:14" s="188" customFormat="1" ht="15">
      <c r="B78" s="547" t="s">
        <v>442</v>
      </c>
      <c r="C78" s="547"/>
      <c r="D78" s="547"/>
      <c r="E78" s="547"/>
      <c r="F78" s="547"/>
      <c r="G78" s="547"/>
      <c r="H78" s="547"/>
      <c r="I78" s="547"/>
      <c r="J78" s="547"/>
      <c r="K78" s="547"/>
    </row>
    <row r="79" spans="2:14" s="188" customFormat="1" ht="15.75">
      <c r="B79" s="172" t="s">
        <v>443</v>
      </c>
      <c r="C79" s="5"/>
      <c r="D79" s="5"/>
      <c r="E79" s="5"/>
      <c r="F79" s="5"/>
      <c r="G79" s="5"/>
      <c r="H79" s="5"/>
      <c r="I79" s="5"/>
      <c r="J79" s="5"/>
      <c r="K79" s="5"/>
    </row>
    <row r="80" spans="2:14"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39"/>
      <c r="M80" s="39"/>
      <c r="N80" s="39"/>
    </row>
    <row r="81" spans="2:14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39"/>
      <c r="M81" s="39"/>
      <c r="N81" s="39"/>
    </row>
    <row r="82" spans="2:14">
      <c r="B82" s="213"/>
      <c r="C82" s="213"/>
      <c r="D82" s="213"/>
      <c r="E82" s="213"/>
      <c r="F82" s="213"/>
      <c r="G82" s="213"/>
      <c r="H82" s="237"/>
      <c r="I82" s="238"/>
      <c r="J82" s="213"/>
      <c r="K82" s="213"/>
      <c r="L82" s="39"/>
      <c r="M82" s="39"/>
      <c r="N82" s="39"/>
    </row>
    <row r="83" spans="2:14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39"/>
      <c r="M83" s="39"/>
      <c r="N83" s="39"/>
    </row>
    <row r="84" spans="2:14"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39"/>
      <c r="M84" s="39"/>
      <c r="N84" s="39"/>
    </row>
    <row r="85" spans="2:14"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39"/>
      <c r="M85" s="39"/>
      <c r="N85" s="39"/>
    </row>
    <row r="86" spans="2:14"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39"/>
      <c r="M86" s="39"/>
      <c r="N86" s="39"/>
    </row>
    <row r="87" spans="2:14">
      <c r="F87" s="39"/>
      <c r="G87" s="39"/>
      <c r="H87" s="39"/>
      <c r="I87" s="39"/>
      <c r="J87" s="39"/>
      <c r="K87" s="39"/>
      <c r="L87" s="39"/>
      <c r="M87" s="39"/>
      <c r="N87" s="39"/>
    </row>
  </sheetData>
  <mergeCells count="69">
    <mergeCell ref="B44:K44"/>
    <mergeCell ref="B46:E48"/>
    <mergeCell ref="B78:K78"/>
    <mergeCell ref="B61:K61"/>
    <mergeCell ref="B63:E65"/>
    <mergeCell ref="F63:F65"/>
    <mergeCell ref="G63:G65"/>
    <mergeCell ref="H63:K63"/>
    <mergeCell ref="H64:H65"/>
    <mergeCell ref="I64:J64"/>
    <mergeCell ref="K64:K65"/>
    <mergeCell ref="B34:C34"/>
    <mergeCell ref="B24:D24"/>
    <mergeCell ref="B25:I25"/>
    <mergeCell ref="B26:C27"/>
    <mergeCell ref="D26:D27"/>
    <mergeCell ref="E26:E27"/>
    <mergeCell ref="F26:F27"/>
    <mergeCell ref="G26:G27"/>
    <mergeCell ref="H26:H27"/>
    <mergeCell ref="I26:I27"/>
    <mergeCell ref="G22:G23"/>
    <mergeCell ref="I22:I23"/>
    <mergeCell ref="B28:C28"/>
    <mergeCell ref="B29:B31"/>
    <mergeCell ref="B32:C32"/>
    <mergeCell ref="B11:C11"/>
    <mergeCell ref="B12:B15"/>
    <mergeCell ref="B16:C16"/>
    <mergeCell ref="B21:D23"/>
    <mergeCell ref="B7:D7"/>
    <mergeCell ref="B8:I8"/>
    <mergeCell ref="B9:C10"/>
    <mergeCell ref="D9:D10"/>
    <mergeCell ref="E9:E10"/>
    <mergeCell ref="F9:F10"/>
    <mergeCell ref="G9:G10"/>
    <mergeCell ref="H9:H10"/>
    <mergeCell ref="I9:I10"/>
    <mergeCell ref="E21:E23"/>
    <mergeCell ref="F21:F23"/>
    <mergeCell ref="G21:I21"/>
    <mergeCell ref="B2:F2"/>
    <mergeCell ref="B4:D6"/>
    <mergeCell ref="E4:E6"/>
    <mergeCell ref="F4:F6"/>
    <mergeCell ref="G4:I4"/>
    <mergeCell ref="G5:G6"/>
    <mergeCell ref="I5:I6"/>
    <mergeCell ref="B66:E66"/>
    <mergeCell ref="B67:K67"/>
    <mergeCell ref="B68:D68"/>
    <mergeCell ref="B69:B74"/>
    <mergeCell ref="C69:D69"/>
    <mergeCell ref="C70:C73"/>
    <mergeCell ref="C74:D74"/>
    <mergeCell ref="B49:E49"/>
    <mergeCell ref="B50:K50"/>
    <mergeCell ref="B51:D51"/>
    <mergeCell ref="B52:B57"/>
    <mergeCell ref="C52:D52"/>
    <mergeCell ref="C53:C56"/>
    <mergeCell ref="C57:D57"/>
    <mergeCell ref="F46:F48"/>
    <mergeCell ref="G46:G48"/>
    <mergeCell ref="H46:K46"/>
    <mergeCell ref="H47:H48"/>
    <mergeCell ref="I47:J47"/>
    <mergeCell ref="K47:K48"/>
  </mergeCells>
  <conditionalFormatting sqref="K53:K57">
    <cfRule type="cellIs" dxfId="7" priority="7" operator="greaterThan">
      <formula>H53*0.1</formula>
    </cfRule>
  </conditionalFormatting>
  <conditionalFormatting sqref="I52">
    <cfRule type="expression" dxfId="6" priority="6">
      <formula>$H$10&gt;$G$10</formula>
    </cfRule>
  </conditionalFormatting>
  <conditionalFormatting sqref="I53">
    <cfRule type="expression" dxfId="5" priority="5">
      <formula>$H$11&gt;0.2*$G$11</formula>
    </cfRule>
  </conditionalFormatting>
  <conditionalFormatting sqref="I54">
    <cfRule type="expression" dxfId="4" priority="4">
      <formula>$H$12&gt;0.2*$G$12</formula>
    </cfRule>
  </conditionalFormatting>
  <conditionalFormatting sqref="I55">
    <cfRule type="expression" dxfId="3" priority="3">
      <formula>$H$13&gt;0.2*$G$13</formula>
    </cfRule>
  </conditionalFormatting>
  <conditionalFormatting sqref="I56">
    <cfRule type="expression" dxfId="2" priority="2">
      <formula>$H$14&gt;0.2*$G$14</formula>
    </cfRule>
  </conditionalFormatting>
  <conditionalFormatting sqref="I57">
    <cfRule type="expression" dxfId="1" priority="1">
      <formula>$H$15&gt;0.2*$G$15</formula>
    </cfRule>
  </conditionalFormatting>
  <dataValidations count="3">
    <dataValidation type="custom" allowBlank="1" showInputMessage="1" showErrorMessage="1" sqref="G53:G57" xr:uid="{00000000-0002-0000-0900-000000000000}">
      <formula1>MOD(G53*10,1)=0</formula1>
    </dataValidation>
    <dataValidation type="custom" allowBlank="1" showInputMessage="1" showErrorMessage="1" errorTitle="Znaki po przecinku" error="Wpisujemy zatrudnienie w pełnych etatach bez miejsc po przecinku." sqref="F53:F57" xr:uid="{00000000-0002-0000-0900-000001000000}">
      <formula1>MOD(F53*10,1)=0</formula1>
    </dataValidation>
    <dataValidation type="custom" allowBlank="1" showInputMessage="1" showErrorMessage="1" errorTitle="Znaki po przecinku" error="Wpisana wartość może mieć wyłącznie 1 znak po przecinku." sqref="H53:I57 J52 J57:K57 K53:K56" xr:uid="{00000000-0002-0000-0900-000002000000}">
      <formula1>MOD(H52*10,1)=0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80B93AD3-3E66-42AE-9348-419D5C548436}">
            <xm:f>'\\uwb-adm-01\DokumentyUWB$\a.jarzembska\Moje dokumenty\EXCEL\[plan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4">
    <pageSetUpPr fitToPage="1"/>
  </sheetPr>
  <dimension ref="A1:I43"/>
  <sheetViews>
    <sheetView topLeftCell="A10" zoomScaleNormal="100" workbookViewId="0">
      <selection activeCell="A19" sqref="A19"/>
    </sheetView>
  </sheetViews>
  <sheetFormatPr defaultRowHeight="12.75"/>
  <cols>
    <col min="1" max="1" width="8.7109375" customWidth="1"/>
    <col min="2" max="2" width="6.85546875" customWidth="1"/>
    <col min="3" max="3" width="37.28515625" customWidth="1"/>
    <col min="4" max="4" width="4.5703125" customWidth="1"/>
    <col min="5" max="5" width="11.85546875" customWidth="1"/>
    <col min="6" max="6" width="18.140625" customWidth="1"/>
    <col min="7" max="7" width="15" hidden="1" customWidth="1"/>
    <col min="8" max="8" width="25.28515625" customWidth="1"/>
    <col min="9" max="9" width="14" customWidth="1"/>
    <col min="10" max="1025" width="8.7109375" customWidth="1"/>
  </cols>
  <sheetData>
    <row r="1" spans="1:9" ht="21.75" customHeight="1">
      <c r="A1" s="334" t="s">
        <v>81</v>
      </c>
      <c r="B1" s="334"/>
      <c r="C1" s="334"/>
    </row>
    <row r="2" spans="1:9" ht="23.25" customHeight="1">
      <c r="A2" s="572" t="s">
        <v>0</v>
      </c>
      <c r="B2" s="572"/>
      <c r="C2" s="572"/>
      <c r="D2" s="572"/>
      <c r="E2" s="572"/>
    </row>
    <row r="3" spans="1:9" ht="9" customHeight="1"/>
    <row r="4" spans="1:9" ht="30.75" customHeight="1">
      <c r="A4" s="347" t="s">
        <v>149</v>
      </c>
      <c r="B4" s="347"/>
      <c r="C4" s="347"/>
      <c r="D4" s="347"/>
      <c r="E4" s="53" t="s">
        <v>2</v>
      </c>
      <c r="F4" s="85" t="s">
        <v>3</v>
      </c>
      <c r="G4" s="85" t="s">
        <v>4</v>
      </c>
    </row>
    <row r="5" spans="1:9" ht="15.75" customHeight="1">
      <c r="A5" s="336">
        <v>1</v>
      </c>
      <c r="B5" s="336"/>
      <c r="C5" s="336"/>
      <c r="D5" s="336"/>
      <c r="E5" s="53">
        <v>2</v>
      </c>
      <c r="F5" s="10">
        <v>3</v>
      </c>
      <c r="G5" s="10">
        <v>3</v>
      </c>
    </row>
    <row r="6" spans="1:9" ht="24" customHeight="1">
      <c r="A6" s="573" t="s">
        <v>398</v>
      </c>
      <c r="B6" s="573"/>
      <c r="C6" s="573"/>
      <c r="D6" s="57" t="s">
        <v>6</v>
      </c>
      <c r="E6" s="56" t="s">
        <v>7</v>
      </c>
      <c r="F6" s="135">
        <f>F7+F9</f>
        <v>9424</v>
      </c>
      <c r="G6" s="135">
        <f>G7+G9</f>
        <v>0</v>
      </c>
    </row>
    <row r="7" spans="1:9" ht="20.100000000000001" customHeight="1">
      <c r="A7" s="574" t="s">
        <v>8</v>
      </c>
      <c r="B7" s="573" t="s">
        <v>9</v>
      </c>
      <c r="C7" s="573"/>
      <c r="D7" s="57" t="s">
        <v>10</v>
      </c>
      <c r="E7" s="56" t="s">
        <v>7</v>
      </c>
      <c r="F7" s="136">
        <v>7165</v>
      </c>
      <c r="G7" s="136"/>
    </row>
    <row r="8" spans="1:9" ht="20.100000000000001" customHeight="1">
      <c r="A8" s="574"/>
      <c r="B8" s="137" t="s">
        <v>15</v>
      </c>
      <c r="C8" s="137" t="s">
        <v>399</v>
      </c>
      <c r="D8" s="57" t="s">
        <v>12</v>
      </c>
      <c r="E8" s="56" t="s">
        <v>7</v>
      </c>
      <c r="F8" s="136">
        <v>1832</v>
      </c>
      <c r="G8" s="136"/>
    </row>
    <row r="9" spans="1:9" ht="20.100000000000001" customHeight="1">
      <c r="A9" s="574"/>
      <c r="B9" s="573" t="s">
        <v>11</v>
      </c>
      <c r="C9" s="573"/>
      <c r="D9" s="57" t="s">
        <v>14</v>
      </c>
      <c r="E9" s="56" t="s">
        <v>7</v>
      </c>
      <c r="F9" s="136">
        <v>2259</v>
      </c>
      <c r="G9" s="136"/>
      <c r="H9" s="138"/>
    </row>
    <row r="10" spans="1:9" ht="20.100000000000001" customHeight="1">
      <c r="A10" s="574"/>
      <c r="B10" s="137" t="s">
        <v>15</v>
      </c>
      <c r="C10" s="137" t="s">
        <v>399</v>
      </c>
      <c r="D10" s="57" t="s">
        <v>17</v>
      </c>
      <c r="E10" s="56" t="s">
        <v>7</v>
      </c>
      <c r="F10" s="136">
        <v>361</v>
      </c>
      <c r="G10" s="136"/>
      <c r="I10" s="78"/>
    </row>
    <row r="11" spans="1:9" ht="20.100000000000001" customHeight="1">
      <c r="A11" s="575" t="s">
        <v>13</v>
      </c>
      <c r="B11" s="575"/>
      <c r="C11" s="575"/>
      <c r="D11" s="57" t="s">
        <v>19</v>
      </c>
      <c r="E11" s="56" t="s">
        <v>7</v>
      </c>
      <c r="F11" s="136">
        <v>423</v>
      </c>
      <c r="G11" s="136"/>
    </row>
    <row r="12" spans="1:9" ht="20.100000000000001" customHeight="1">
      <c r="A12" s="137" t="s">
        <v>15</v>
      </c>
      <c r="B12" s="573" t="s">
        <v>400</v>
      </c>
      <c r="C12" s="573"/>
      <c r="D12" s="57" t="s">
        <v>21</v>
      </c>
      <c r="E12" s="56" t="s">
        <v>7</v>
      </c>
      <c r="F12" s="136">
        <v>421</v>
      </c>
      <c r="G12" s="136"/>
    </row>
    <row r="13" spans="1:9" ht="26.25" customHeight="1">
      <c r="A13" s="575" t="s">
        <v>401</v>
      </c>
      <c r="B13" s="575"/>
      <c r="C13" s="575"/>
      <c r="D13" s="57" t="s">
        <v>24</v>
      </c>
      <c r="E13" s="56" t="s">
        <v>7</v>
      </c>
      <c r="F13" s="136">
        <v>193</v>
      </c>
      <c r="G13" s="136"/>
    </row>
    <row r="14" spans="1:9" ht="26.25" customHeight="1">
      <c r="A14" s="576" t="s">
        <v>402</v>
      </c>
      <c r="B14" s="576"/>
      <c r="C14" s="576"/>
      <c r="D14" s="57" t="s">
        <v>27</v>
      </c>
      <c r="E14" s="56" t="s">
        <v>7</v>
      </c>
      <c r="F14" s="136">
        <v>114</v>
      </c>
      <c r="G14" s="136"/>
    </row>
    <row r="15" spans="1:9" ht="30" customHeight="1">
      <c r="A15" s="575" t="s">
        <v>403</v>
      </c>
      <c r="B15" s="575"/>
      <c r="C15" s="575"/>
      <c r="D15" s="57" t="s">
        <v>103</v>
      </c>
      <c r="E15" s="56" t="s">
        <v>45</v>
      </c>
      <c r="F15" s="139">
        <v>5178</v>
      </c>
      <c r="G15" s="139"/>
      <c r="H15" s="78"/>
    </row>
    <row r="16" spans="1:9" ht="33" customHeight="1">
      <c r="A16" s="577" t="s">
        <v>404</v>
      </c>
      <c r="B16" s="577"/>
      <c r="C16" s="577"/>
      <c r="D16" s="140" t="s">
        <v>105</v>
      </c>
      <c r="E16" s="141" t="s">
        <v>45</v>
      </c>
      <c r="F16" s="142">
        <v>1088.9000000000001</v>
      </c>
      <c r="G16" s="61"/>
    </row>
    <row r="17" spans="1:9" ht="33" customHeight="1">
      <c r="A17" s="577" t="s">
        <v>405</v>
      </c>
      <c r="B17" s="577"/>
      <c r="C17" s="577"/>
      <c r="D17" s="140"/>
      <c r="E17" s="141" t="s">
        <v>7</v>
      </c>
      <c r="F17" s="142">
        <v>56</v>
      </c>
      <c r="G17" s="61"/>
    </row>
    <row r="18" spans="1:9" ht="33" customHeight="1">
      <c r="A18" s="577" t="s">
        <v>406</v>
      </c>
      <c r="B18" s="577"/>
      <c r="C18" s="577"/>
      <c r="D18" s="140"/>
      <c r="E18" s="141" t="s">
        <v>7</v>
      </c>
      <c r="F18" s="142">
        <v>56</v>
      </c>
      <c r="G18" s="61"/>
    </row>
    <row r="19" spans="1:9" ht="33" customHeight="1">
      <c r="A19" s="577" t="s">
        <v>407</v>
      </c>
      <c r="B19" s="577"/>
      <c r="C19" s="577"/>
      <c r="D19" s="140"/>
      <c r="E19" s="141" t="s">
        <v>7</v>
      </c>
      <c r="F19" s="142">
        <v>56</v>
      </c>
      <c r="G19" s="61"/>
    </row>
    <row r="20" spans="1:9" ht="33" customHeight="1">
      <c r="A20" s="577" t="s">
        <v>408</v>
      </c>
      <c r="B20" s="577"/>
      <c r="C20" s="577"/>
      <c r="D20" s="140"/>
      <c r="E20" s="141" t="s">
        <v>45</v>
      </c>
      <c r="F20" s="142">
        <f>2400*56*3/1000</f>
        <v>403.2</v>
      </c>
      <c r="G20" s="61"/>
    </row>
    <row r="21" spans="1:9" ht="27.75" customHeight="1">
      <c r="A21" s="578" t="s">
        <v>409</v>
      </c>
      <c r="B21" s="578"/>
      <c r="C21" s="578"/>
      <c r="D21" s="57" t="s">
        <v>107</v>
      </c>
      <c r="E21" s="56" t="s">
        <v>45</v>
      </c>
      <c r="F21" s="61">
        <v>20</v>
      </c>
      <c r="G21" s="61"/>
    </row>
    <row r="22" spans="1:9" ht="34.5" customHeight="1">
      <c r="A22" s="578" t="s">
        <v>410</v>
      </c>
      <c r="B22" s="578"/>
      <c r="C22" s="578"/>
      <c r="D22" s="57" t="s">
        <v>109</v>
      </c>
      <c r="E22" s="56" t="s">
        <v>45</v>
      </c>
      <c r="F22" s="61">
        <v>250</v>
      </c>
      <c r="G22" s="61"/>
      <c r="I22" s="98"/>
    </row>
    <row r="23" spans="1:9" ht="30" customHeight="1">
      <c r="A23" s="575" t="s">
        <v>411</v>
      </c>
      <c r="B23" s="575"/>
      <c r="C23" s="575"/>
      <c r="D23" s="57" t="s">
        <v>111</v>
      </c>
      <c r="E23" s="56" t="s">
        <v>45</v>
      </c>
      <c r="F23" s="61">
        <v>603</v>
      </c>
      <c r="G23" s="61"/>
    </row>
    <row r="24" spans="1:9" ht="20.100000000000001" customHeight="1">
      <c r="A24" s="575" t="s">
        <v>412</v>
      </c>
      <c r="B24" s="575"/>
      <c r="C24" s="575"/>
      <c r="D24" s="57" t="s">
        <v>113</v>
      </c>
      <c r="E24" s="56" t="s">
        <v>45</v>
      </c>
      <c r="F24" s="61">
        <v>63311.8</v>
      </c>
      <c r="G24" s="61"/>
    </row>
    <row r="25" spans="1:9" ht="33" customHeight="1">
      <c r="A25" s="137" t="s">
        <v>15</v>
      </c>
      <c r="B25" s="575" t="s">
        <v>413</v>
      </c>
      <c r="C25" s="575"/>
      <c r="D25" s="57" t="s">
        <v>115</v>
      </c>
      <c r="E25" s="56" t="s">
        <v>45</v>
      </c>
      <c r="F25" s="61">
        <v>4798</v>
      </c>
      <c r="G25" s="61"/>
      <c r="H25" s="98"/>
    </row>
    <row r="26" spans="1:9" ht="48.75" customHeight="1">
      <c r="A26" s="575" t="s">
        <v>414</v>
      </c>
      <c r="B26" s="575"/>
      <c r="C26" s="575"/>
      <c r="D26" s="57" t="s">
        <v>116</v>
      </c>
      <c r="E26" s="56" t="s">
        <v>45</v>
      </c>
      <c r="F26" s="61">
        <v>31282</v>
      </c>
      <c r="G26" s="61"/>
      <c r="H26" s="98"/>
    </row>
    <row r="27" spans="1:9" ht="45.75" customHeight="1">
      <c r="A27" s="575" t="s">
        <v>415</v>
      </c>
      <c r="B27" s="575"/>
      <c r="C27" s="575"/>
      <c r="D27" s="57" t="s">
        <v>117</v>
      </c>
      <c r="E27" s="56" t="s">
        <v>45</v>
      </c>
      <c r="F27" s="61">
        <v>0</v>
      </c>
      <c r="G27" s="61">
        <v>0</v>
      </c>
      <c r="H27" s="98"/>
    </row>
    <row r="28" spans="1:9" ht="47.25" customHeight="1">
      <c r="A28" s="575" t="s">
        <v>416</v>
      </c>
      <c r="B28" s="575"/>
      <c r="C28" s="575"/>
      <c r="D28" s="57" t="s">
        <v>119</v>
      </c>
      <c r="E28" s="56" t="s">
        <v>45</v>
      </c>
      <c r="F28" s="61">
        <v>0</v>
      </c>
      <c r="G28" s="61">
        <v>0</v>
      </c>
      <c r="H28" s="98"/>
    </row>
    <row r="29" spans="1:9" ht="46.5" customHeight="1">
      <c r="A29" s="578" t="s">
        <v>417</v>
      </c>
      <c r="B29" s="578"/>
      <c r="C29" s="578"/>
      <c r="D29" s="13">
        <v>20</v>
      </c>
      <c r="E29" s="56" t="s">
        <v>45</v>
      </c>
      <c r="F29" s="61">
        <v>250</v>
      </c>
      <c r="G29" s="61"/>
    </row>
    <row r="30" spans="1:9" ht="20.100000000000001" customHeight="1">
      <c r="A30" s="137" t="s">
        <v>15</v>
      </c>
      <c r="B30" s="573" t="s">
        <v>418</v>
      </c>
      <c r="C30" s="573"/>
      <c r="D30" s="13">
        <v>21</v>
      </c>
      <c r="E30" s="56" t="s">
        <v>45</v>
      </c>
      <c r="F30" s="61">
        <v>250</v>
      </c>
      <c r="G30" s="61"/>
    </row>
    <row r="31" spans="1:9" ht="50.25" customHeight="1">
      <c r="A31" s="579" t="s">
        <v>419</v>
      </c>
      <c r="B31" s="579"/>
      <c r="C31" s="579"/>
      <c r="D31" s="13">
        <v>22</v>
      </c>
      <c r="E31" s="56" t="s">
        <v>45</v>
      </c>
      <c r="F31" s="61">
        <v>0</v>
      </c>
      <c r="G31" s="61">
        <v>0</v>
      </c>
    </row>
    <row r="32" spans="1:9" ht="44.25" customHeight="1">
      <c r="A32" s="580" t="s">
        <v>420</v>
      </c>
      <c r="B32" s="580"/>
      <c r="C32" s="580"/>
      <c r="D32" s="13">
        <v>23</v>
      </c>
      <c r="E32" s="56" t="s">
        <v>45</v>
      </c>
      <c r="F32" s="83">
        <v>1236.5</v>
      </c>
      <c r="G32" s="83"/>
    </row>
    <row r="33" spans="1:1" ht="20.100000000000001" customHeight="1"/>
    <row r="34" spans="1:1" ht="20.100000000000001" customHeight="1">
      <c r="A34" t="s">
        <v>342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</sheetData>
  <mergeCells count="30">
    <mergeCell ref="A28:C28"/>
    <mergeCell ref="A29:C29"/>
    <mergeCell ref="B30:C30"/>
    <mergeCell ref="A31:C31"/>
    <mergeCell ref="A32:C32"/>
    <mergeCell ref="A23:C23"/>
    <mergeCell ref="A24:C24"/>
    <mergeCell ref="B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7:A10"/>
    <mergeCell ref="B7:C7"/>
    <mergeCell ref="B9:C9"/>
    <mergeCell ref="A11:C11"/>
    <mergeCell ref="B12:C12"/>
    <mergeCell ref="A1:C1"/>
    <mergeCell ref="A2:E2"/>
    <mergeCell ref="A4:D4"/>
    <mergeCell ref="A5:D5"/>
    <mergeCell ref="A6:C6"/>
  </mergeCells>
  <pageMargins left="0.31527777777777799" right="0.31527777777777799" top="0.74791666666666701" bottom="0.74791666666666701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5">
    <pageSetUpPr fitToPage="1"/>
  </sheetPr>
  <dimension ref="A1:H34"/>
  <sheetViews>
    <sheetView zoomScaleNormal="100" workbookViewId="0">
      <selection activeCell="M13" sqref="M13"/>
    </sheetView>
  </sheetViews>
  <sheetFormatPr defaultRowHeight="12.75"/>
  <cols>
    <col min="1" max="1" width="7.42578125" customWidth="1"/>
    <col min="2" max="3" width="7.140625" customWidth="1"/>
    <col min="4" max="4" width="64.5703125" customWidth="1"/>
    <col min="5" max="5" width="7.85546875" customWidth="1"/>
    <col min="6" max="6" width="8.7109375" customWidth="1"/>
    <col min="7" max="7" width="18.85546875" customWidth="1"/>
    <col min="8" max="8" width="18.85546875" style="158" customWidth="1"/>
    <col min="9" max="1013" width="8.7109375" customWidth="1"/>
  </cols>
  <sheetData>
    <row r="1" spans="1:8" s="188" customFormat="1">
      <c r="A1" s="120" t="s">
        <v>81</v>
      </c>
      <c r="B1" s="121"/>
      <c r="C1" s="121"/>
      <c r="D1" s="122"/>
      <c r="E1" s="122"/>
      <c r="G1" s="158"/>
    </row>
    <row r="2" spans="1:8" ht="15.75" customHeight="1">
      <c r="A2" s="318" t="s">
        <v>452</v>
      </c>
      <c r="B2" s="318"/>
      <c r="C2" s="318"/>
      <c r="D2" s="318"/>
      <c r="E2" s="318"/>
      <c r="F2" s="318"/>
    </row>
    <row r="3" spans="1:8" ht="16.5" thickBot="1">
      <c r="A3" s="7"/>
      <c r="B3" s="7"/>
      <c r="C3" s="7"/>
      <c r="D3" s="7"/>
      <c r="E3" s="7"/>
      <c r="F3" s="7"/>
    </row>
    <row r="4" spans="1:8" ht="31.5" customHeight="1">
      <c r="A4" s="543" t="s">
        <v>1</v>
      </c>
      <c r="B4" s="544"/>
      <c r="C4" s="544"/>
      <c r="D4" s="544"/>
      <c r="E4" s="545"/>
      <c r="F4" s="176" t="s">
        <v>2</v>
      </c>
      <c r="G4" s="159" t="s">
        <v>463</v>
      </c>
      <c r="H4" s="239" t="s">
        <v>464</v>
      </c>
    </row>
    <row r="5" spans="1:8" ht="15">
      <c r="A5" s="599">
        <v>1</v>
      </c>
      <c r="B5" s="600"/>
      <c r="C5" s="600"/>
      <c r="D5" s="600"/>
      <c r="E5" s="600"/>
      <c r="F5" s="177">
        <v>2</v>
      </c>
      <c r="G5" s="193">
        <v>4</v>
      </c>
      <c r="H5" s="265">
        <v>5</v>
      </c>
    </row>
    <row r="6" spans="1:8" ht="18" customHeight="1">
      <c r="A6" s="601" t="s">
        <v>5</v>
      </c>
      <c r="B6" s="598"/>
      <c r="C6" s="598"/>
      <c r="D6" s="598"/>
      <c r="E6" s="169" t="s">
        <v>6</v>
      </c>
      <c r="F6" s="169" t="s">
        <v>7</v>
      </c>
      <c r="G6" s="16">
        <v>8408</v>
      </c>
      <c r="H6" s="266">
        <v>8368</v>
      </c>
    </row>
    <row r="7" spans="1:8" ht="15.75" customHeight="1">
      <c r="A7" s="592" t="s">
        <v>8</v>
      </c>
      <c r="B7" s="602" t="s">
        <v>9</v>
      </c>
      <c r="C7" s="595"/>
      <c r="D7" s="596"/>
      <c r="E7" s="169" t="s">
        <v>10</v>
      </c>
      <c r="F7" s="169" t="s">
        <v>7</v>
      </c>
      <c r="G7" s="212">
        <v>6265</v>
      </c>
      <c r="H7" s="267">
        <v>6314</v>
      </c>
    </row>
    <row r="8" spans="1:8" ht="15.75" customHeight="1">
      <c r="A8" s="593"/>
      <c r="B8" s="602" t="s">
        <v>11</v>
      </c>
      <c r="C8" s="595"/>
      <c r="D8" s="596"/>
      <c r="E8" s="169" t="s">
        <v>12</v>
      </c>
      <c r="F8" s="169" t="s">
        <v>7</v>
      </c>
      <c r="G8" s="212">
        <v>2143</v>
      </c>
      <c r="H8" s="267">
        <v>2054</v>
      </c>
    </row>
    <row r="9" spans="1:8" ht="15.75" customHeight="1">
      <c r="A9" s="594"/>
      <c r="B9" s="178" t="s">
        <v>15</v>
      </c>
      <c r="C9" s="595" t="s">
        <v>453</v>
      </c>
      <c r="D9" s="596"/>
      <c r="E9" s="169" t="s">
        <v>14</v>
      </c>
      <c r="F9" s="169" t="s">
        <v>7</v>
      </c>
      <c r="G9" s="212">
        <v>0</v>
      </c>
      <c r="H9" s="267">
        <v>0</v>
      </c>
    </row>
    <row r="10" spans="1:8" ht="15.75" customHeight="1">
      <c r="A10" s="597" t="s">
        <v>13</v>
      </c>
      <c r="B10" s="598"/>
      <c r="C10" s="598"/>
      <c r="D10" s="598"/>
      <c r="E10" s="169" t="s">
        <v>17</v>
      </c>
      <c r="F10" s="169" t="s">
        <v>7</v>
      </c>
      <c r="G10" s="212">
        <v>281</v>
      </c>
      <c r="H10" s="267">
        <v>254</v>
      </c>
    </row>
    <row r="11" spans="1:8" ht="27.75" customHeight="1">
      <c r="A11" s="581" t="s">
        <v>15</v>
      </c>
      <c r="B11" s="584" t="s">
        <v>16</v>
      </c>
      <c r="C11" s="584"/>
      <c r="D11" s="585"/>
      <c r="E11" s="169" t="s">
        <v>19</v>
      </c>
      <c r="F11" s="169" t="s">
        <v>7</v>
      </c>
      <c r="G11" s="212">
        <v>182</v>
      </c>
      <c r="H11" s="267">
        <v>125</v>
      </c>
    </row>
    <row r="12" spans="1:8" ht="15.75" customHeight="1">
      <c r="A12" s="582"/>
      <c r="B12" s="179" t="s">
        <v>15</v>
      </c>
      <c r="C12" s="586" t="s">
        <v>454</v>
      </c>
      <c r="D12" s="587"/>
      <c r="E12" s="169" t="s">
        <v>21</v>
      </c>
      <c r="F12" s="169" t="s">
        <v>7</v>
      </c>
      <c r="G12" s="212">
        <v>93</v>
      </c>
      <c r="H12" s="267">
        <v>66</v>
      </c>
    </row>
    <row r="13" spans="1:8" ht="38.25" customHeight="1">
      <c r="A13" s="582"/>
      <c r="B13" s="588" t="s">
        <v>20</v>
      </c>
      <c r="C13" s="588"/>
      <c r="D13" s="589"/>
      <c r="E13" s="169" t="s">
        <v>24</v>
      </c>
      <c r="F13" s="169" t="s">
        <v>7</v>
      </c>
      <c r="G13" s="212">
        <v>99</v>
      </c>
      <c r="H13" s="267">
        <v>129</v>
      </c>
    </row>
    <row r="14" spans="1:8" ht="51.75" customHeight="1">
      <c r="A14" s="582"/>
      <c r="B14" s="179" t="s">
        <v>15</v>
      </c>
      <c r="C14" s="586" t="s">
        <v>455</v>
      </c>
      <c r="D14" s="587"/>
      <c r="E14" s="169" t="s">
        <v>27</v>
      </c>
      <c r="F14" s="169" t="s">
        <v>7</v>
      </c>
      <c r="G14" s="212">
        <v>98</v>
      </c>
      <c r="H14" s="267">
        <v>129</v>
      </c>
    </row>
    <row r="15" spans="1:8" ht="29.25" customHeight="1">
      <c r="A15" s="583"/>
      <c r="B15" s="590" t="s">
        <v>15</v>
      </c>
      <c r="C15" s="591"/>
      <c r="D15" s="180" t="s">
        <v>456</v>
      </c>
      <c r="E15" s="169" t="s">
        <v>103</v>
      </c>
      <c r="F15" s="169" t="s">
        <v>7</v>
      </c>
      <c r="G15" s="212">
        <v>2</v>
      </c>
      <c r="H15" s="267">
        <v>2</v>
      </c>
    </row>
    <row r="16" spans="1:8" ht="27" customHeight="1">
      <c r="A16" s="606" t="s">
        <v>457</v>
      </c>
      <c r="B16" s="607"/>
      <c r="C16" s="607"/>
      <c r="D16" s="608"/>
      <c r="E16" s="169" t="s">
        <v>105</v>
      </c>
      <c r="F16" s="181" t="s">
        <v>30</v>
      </c>
      <c r="G16" s="117">
        <v>27350</v>
      </c>
      <c r="H16" s="268">
        <v>28016.400000000001</v>
      </c>
    </row>
    <row r="17" spans="1:8" ht="25.5" customHeight="1">
      <c r="A17" s="606" t="s">
        <v>32</v>
      </c>
      <c r="B17" s="607"/>
      <c r="C17" s="607"/>
      <c r="D17" s="608"/>
      <c r="E17" s="169" t="s">
        <v>107</v>
      </c>
      <c r="F17" s="181" t="s">
        <v>30</v>
      </c>
      <c r="G17" s="117"/>
      <c r="H17" s="268"/>
    </row>
    <row r="18" spans="1:8" ht="23.25" customHeight="1">
      <c r="A18" s="609" t="s">
        <v>33</v>
      </c>
      <c r="B18" s="608"/>
      <c r="C18" s="608"/>
      <c r="D18" s="608"/>
      <c r="E18" s="169" t="s">
        <v>109</v>
      </c>
      <c r="F18" s="181" t="s">
        <v>30</v>
      </c>
      <c r="G18" s="117">
        <v>3128</v>
      </c>
      <c r="H18" s="268">
        <v>1127</v>
      </c>
    </row>
    <row r="19" spans="1:8" ht="25.5" customHeight="1">
      <c r="A19" s="609" t="s">
        <v>34</v>
      </c>
      <c r="B19" s="608"/>
      <c r="C19" s="608"/>
      <c r="D19" s="608"/>
      <c r="E19" s="169" t="s">
        <v>111</v>
      </c>
      <c r="F19" s="181" t="s">
        <v>30</v>
      </c>
      <c r="G19" s="117">
        <v>45497.3</v>
      </c>
      <c r="H19" s="268">
        <v>46065</v>
      </c>
    </row>
    <row r="20" spans="1:8" ht="31.5" customHeight="1">
      <c r="A20" s="603" t="s">
        <v>35</v>
      </c>
      <c r="B20" s="604"/>
      <c r="C20" s="604"/>
      <c r="D20" s="605"/>
      <c r="E20" s="169" t="s">
        <v>113</v>
      </c>
      <c r="F20" s="182" t="s">
        <v>30</v>
      </c>
      <c r="G20" s="117">
        <v>4389</v>
      </c>
      <c r="H20" s="268">
        <v>3813</v>
      </c>
    </row>
    <row r="21" spans="1:8" ht="28.5" customHeight="1">
      <c r="A21" s="612" t="s">
        <v>458</v>
      </c>
      <c r="B21" s="614" t="s">
        <v>36</v>
      </c>
      <c r="C21" s="614"/>
      <c r="D21" s="615"/>
      <c r="E21" s="169" t="s">
        <v>115</v>
      </c>
      <c r="F21" s="183" t="s">
        <v>30</v>
      </c>
      <c r="G21" s="117">
        <v>604.5</v>
      </c>
      <c r="H21" s="268">
        <v>701.5</v>
      </c>
    </row>
    <row r="22" spans="1:8" ht="33.75" customHeight="1">
      <c r="A22" s="612"/>
      <c r="B22" s="614" t="s">
        <v>37</v>
      </c>
      <c r="C22" s="614"/>
      <c r="D22" s="615"/>
      <c r="E22" s="169" t="s">
        <v>116</v>
      </c>
      <c r="F22" s="184" t="s">
        <v>30</v>
      </c>
      <c r="G22" s="117">
        <v>29316</v>
      </c>
      <c r="H22" s="268">
        <v>29418.1</v>
      </c>
    </row>
    <row r="23" spans="1:8" ht="30.75" customHeight="1">
      <c r="A23" s="612"/>
      <c r="B23" s="614" t="s">
        <v>38</v>
      </c>
      <c r="C23" s="614"/>
      <c r="D23" s="615"/>
      <c r="E23" s="169" t="s">
        <v>117</v>
      </c>
      <c r="F23" s="182" t="s">
        <v>30</v>
      </c>
      <c r="G23" s="117">
        <v>272.39999999999998</v>
      </c>
      <c r="H23" s="268">
        <v>188.6</v>
      </c>
    </row>
    <row r="24" spans="1:8" ht="30.75" customHeight="1">
      <c r="A24" s="612"/>
      <c r="B24" s="614" t="s">
        <v>39</v>
      </c>
      <c r="C24" s="614"/>
      <c r="D24" s="615"/>
      <c r="E24" s="169" t="s">
        <v>119</v>
      </c>
      <c r="F24" s="184" t="s">
        <v>30</v>
      </c>
      <c r="G24" s="117">
        <v>1500</v>
      </c>
      <c r="H24" s="268">
        <v>1283.8</v>
      </c>
    </row>
    <row r="25" spans="1:8" ht="31.5" customHeight="1">
      <c r="A25" s="612"/>
      <c r="B25" s="614" t="s">
        <v>40</v>
      </c>
      <c r="C25" s="614"/>
      <c r="D25" s="615"/>
      <c r="E25" s="169" t="s">
        <v>120</v>
      </c>
      <c r="F25" s="182" t="s">
        <v>30</v>
      </c>
      <c r="G25" s="117">
        <v>6156.4</v>
      </c>
      <c r="H25" s="268">
        <v>5585.8</v>
      </c>
    </row>
    <row r="26" spans="1:8" ht="39.75" customHeight="1">
      <c r="A26" s="612"/>
      <c r="B26" s="616" t="s">
        <v>41</v>
      </c>
      <c r="C26" s="616"/>
      <c r="D26" s="617"/>
      <c r="E26" s="170" t="s">
        <v>121</v>
      </c>
      <c r="F26" s="182" t="s">
        <v>30</v>
      </c>
      <c r="G26" s="270">
        <v>6156.4</v>
      </c>
      <c r="H26" s="271">
        <v>5585.8</v>
      </c>
    </row>
    <row r="27" spans="1:8" ht="39.75" customHeight="1" thickBot="1">
      <c r="A27" s="613"/>
      <c r="B27" s="618" t="s">
        <v>459</v>
      </c>
      <c r="C27" s="618"/>
      <c r="D27" s="618"/>
      <c r="E27" s="272" t="s">
        <v>123</v>
      </c>
      <c r="F27" s="273" t="s">
        <v>30</v>
      </c>
      <c r="G27" s="268">
        <v>7648</v>
      </c>
      <c r="H27" s="268">
        <v>8887.2999999999993</v>
      </c>
    </row>
    <row r="28" spans="1:8" ht="39.75" customHeight="1">
      <c r="A28" s="41"/>
      <c r="B28" s="41"/>
      <c r="C28" s="41"/>
      <c r="D28" s="41"/>
      <c r="E28" s="269"/>
      <c r="F28" s="269"/>
      <c r="G28" s="39"/>
      <c r="H28" s="194"/>
    </row>
    <row r="29" spans="1:8" ht="39.75" customHeight="1">
      <c r="A29" s="330" t="s">
        <v>462</v>
      </c>
      <c r="B29" s="330"/>
      <c r="C29" s="330"/>
      <c r="D29" s="185" t="s">
        <v>460</v>
      </c>
      <c r="E29" s="330" t="s">
        <v>50</v>
      </c>
      <c r="F29" s="330"/>
      <c r="G29" s="611"/>
      <c r="H29" s="194"/>
    </row>
    <row r="30" spans="1:8" ht="39.75" customHeight="1">
      <c r="A30" s="45" t="s">
        <v>51</v>
      </c>
      <c r="B30" s="45"/>
      <c r="C30" s="45"/>
      <c r="D30" s="47" t="s">
        <v>461</v>
      </c>
      <c r="E30" s="331" t="s">
        <v>53</v>
      </c>
      <c r="F30" s="331"/>
      <c r="G30" s="610"/>
      <c r="H30" s="194"/>
    </row>
    <row r="31" spans="1:8" ht="39.75" customHeight="1">
      <c r="A31" s="45" t="s">
        <v>54</v>
      </c>
      <c r="B31" s="45"/>
      <c r="C31" s="45"/>
      <c r="D31" s="48"/>
      <c r="E31" s="48"/>
      <c r="F31" s="41"/>
      <c r="G31" s="39"/>
      <c r="H31" s="194"/>
    </row>
    <row r="32" spans="1:8" ht="39.75" customHeight="1">
      <c r="A32" s="41"/>
      <c r="B32" s="41"/>
      <c r="C32" s="41"/>
      <c r="D32" s="41"/>
      <c r="E32" s="41"/>
      <c r="F32" s="41"/>
      <c r="G32" s="39"/>
      <c r="H32" s="194"/>
    </row>
    <row r="33" spans="1:8" ht="39.75" customHeight="1">
      <c r="A33" s="35"/>
      <c r="B33" s="35"/>
      <c r="C33" s="35"/>
      <c r="D33" s="35"/>
      <c r="E33" s="36"/>
      <c r="F33" s="37"/>
      <c r="G33" s="39"/>
      <c r="H33" s="194"/>
    </row>
    <row r="34" spans="1:8" ht="39.75" customHeight="1">
      <c r="A34" s="35"/>
      <c r="B34" s="35"/>
      <c r="C34" s="35"/>
      <c r="D34" s="35"/>
      <c r="E34" s="36"/>
      <c r="F34" s="37"/>
      <c r="G34" s="39"/>
      <c r="H34" s="194"/>
    </row>
  </sheetData>
  <mergeCells count="31">
    <mergeCell ref="A29:C29"/>
    <mergeCell ref="E30:G30"/>
    <mergeCell ref="E29:G29"/>
    <mergeCell ref="A21:A27"/>
    <mergeCell ref="B21:D21"/>
    <mergeCell ref="B22:D22"/>
    <mergeCell ref="B23:D23"/>
    <mergeCell ref="B24:D24"/>
    <mergeCell ref="B25:D25"/>
    <mergeCell ref="B26:D26"/>
    <mergeCell ref="B27:D27"/>
    <mergeCell ref="A20:D20"/>
    <mergeCell ref="A16:D16"/>
    <mergeCell ref="A17:D17"/>
    <mergeCell ref="A18:D18"/>
    <mergeCell ref="A19:D19"/>
    <mergeCell ref="A7:A9"/>
    <mergeCell ref="C9:D9"/>
    <mergeCell ref="A10:D10"/>
    <mergeCell ref="A2:F2"/>
    <mergeCell ref="A4:E4"/>
    <mergeCell ref="A5:E5"/>
    <mergeCell ref="A6:D6"/>
    <mergeCell ref="B7:D7"/>
    <mergeCell ref="B8:D8"/>
    <mergeCell ref="A11:A15"/>
    <mergeCell ref="B11:D11"/>
    <mergeCell ref="C12:D12"/>
    <mergeCell ref="B13:D13"/>
    <mergeCell ref="C14:D14"/>
    <mergeCell ref="B15:C15"/>
  </mergeCells>
  <pageMargins left="0.7" right="0.7" top="0.75" bottom="0.75" header="0.51180555555555496" footer="0.51180555555555496"/>
  <pageSetup paperSize="9" scale="63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"/>
  <sheetViews>
    <sheetView zoomScaleNormal="100" workbookViewId="0">
      <selection activeCell="A42" sqref="A42"/>
    </sheetView>
  </sheetViews>
  <sheetFormatPr defaultRowHeight="12.7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A1:L25"/>
  <sheetViews>
    <sheetView zoomScaleNormal="100" workbookViewId="0"/>
  </sheetViews>
  <sheetFormatPr defaultRowHeight="12.75"/>
  <cols>
    <col min="1" max="1" width="35.140625" customWidth="1"/>
    <col min="2" max="2" width="8.7109375" customWidth="1"/>
    <col min="3" max="3" width="14.85546875" style="18" customWidth="1"/>
    <col min="4" max="4" width="9.140625" customWidth="1"/>
    <col min="5" max="5" width="20" customWidth="1"/>
    <col min="6" max="6" width="13.85546875" customWidth="1"/>
    <col min="7" max="7" width="16.85546875" customWidth="1"/>
    <col min="8" max="8" width="9.140625" customWidth="1"/>
    <col min="9" max="9" width="11.28515625" customWidth="1"/>
    <col min="10" max="10" width="19.28515625" customWidth="1"/>
    <col min="11" max="11" width="9.140625" customWidth="1"/>
    <col min="12" max="12" width="31" customWidth="1"/>
    <col min="13" max="1025" width="8.7109375" customWidth="1"/>
  </cols>
  <sheetData>
    <row r="1" spans="1:8">
      <c r="A1" t="s">
        <v>57</v>
      </c>
      <c r="C1"/>
    </row>
    <row r="2" spans="1:8">
      <c r="B2" t="s">
        <v>58</v>
      </c>
      <c r="C2" s="50" t="s">
        <v>59</v>
      </c>
      <c r="D2" t="s">
        <v>60</v>
      </c>
      <c r="E2" t="s">
        <v>61</v>
      </c>
    </row>
    <row r="3" spans="1:8">
      <c r="A3" t="s">
        <v>62</v>
      </c>
      <c r="B3" s="51">
        <v>200000</v>
      </c>
      <c r="C3"/>
    </row>
    <row r="4" spans="1:8">
      <c r="A4" t="s">
        <v>63</v>
      </c>
      <c r="B4">
        <v>600000</v>
      </c>
      <c r="C4" s="52">
        <v>960186</v>
      </c>
      <c r="D4">
        <v>988</v>
      </c>
      <c r="E4">
        <v>685</v>
      </c>
      <c r="H4">
        <v>1561859</v>
      </c>
    </row>
    <row r="5" spans="1:8">
      <c r="A5" t="s">
        <v>64</v>
      </c>
      <c r="B5">
        <v>100000</v>
      </c>
      <c r="C5"/>
    </row>
    <row r="6" spans="1:8">
      <c r="A6" t="s">
        <v>65</v>
      </c>
      <c r="C6"/>
    </row>
    <row r="7" spans="1:8">
      <c r="A7" t="s">
        <v>66</v>
      </c>
      <c r="C7"/>
    </row>
    <row r="8" spans="1:8">
      <c r="A8" t="s">
        <v>67</v>
      </c>
      <c r="C8"/>
    </row>
    <row r="9" spans="1:8">
      <c r="A9" t="s">
        <v>68</v>
      </c>
      <c r="B9">
        <v>900000</v>
      </c>
      <c r="C9" s="50">
        <v>960186</v>
      </c>
      <c r="D9">
        <v>988</v>
      </c>
      <c r="E9">
        <v>685</v>
      </c>
      <c r="F9">
        <v>1861859</v>
      </c>
    </row>
    <row r="15" spans="1:8">
      <c r="A15" t="s">
        <v>69</v>
      </c>
      <c r="C15"/>
    </row>
    <row r="17" spans="1:12">
      <c r="C17"/>
      <c r="D17">
        <v>5316240</v>
      </c>
      <c r="E17">
        <v>3797314.2857142901</v>
      </c>
    </row>
    <row r="19" spans="1:12">
      <c r="A19" t="s">
        <v>70</v>
      </c>
      <c r="C19" s="50" t="s">
        <v>71</v>
      </c>
      <c r="E19" t="s">
        <v>72</v>
      </c>
      <c r="G19" t="s">
        <v>73</v>
      </c>
      <c r="H19" t="s">
        <v>74</v>
      </c>
      <c r="J19" t="s">
        <v>75</v>
      </c>
    </row>
    <row r="20" spans="1:12">
      <c r="A20" t="s">
        <v>76</v>
      </c>
      <c r="C20" s="52">
        <v>2248839</v>
      </c>
      <c r="E20" s="24">
        <v>2698606.8</v>
      </c>
      <c r="G20">
        <v>100170.06</v>
      </c>
      <c r="H20">
        <v>120204.072</v>
      </c>
      <c r="J20" s="24">
        <v>2578402.7280000001</v>
      </c>
    </row>
    <row r="21" spans="1:12">
      <c r="A21" t="s">
        <v>77</v>
      </c>
      <c r="C21" s="52">
        <v>132644</v>
      </c>
      <c r="E21" s="24">
        <v>159172.79999999999</v>
      </c>
      <c r="G21">
        <v>1087.9100000000001</v>
      </c>
      <c r="H21">
        <v>1305.492</v>
      </c>
      <c r="J21" s="24">
        <v>157867.30799999999</v>
      </c>
    </row>
    <row r="22" spans="1:12">
      <c r="A22" t="s">
        <v>78</v>
      </c>
      <c r="C22" s="52">
        <v>2896168</v>
      </c>
      <c r="E22" s="24">
        <v>3475401.6</v>
      </c>
      <c r="G22">
        <v>85623.8</v>
      </c>
      <c r="H22">
        <v>102748.56</v>
      </c>
      <c r="J22" s="24">
        <v>3372653.04</v>
      </c>
    </row>
    <row r="23" spans="1:12">
      <c r="A23" t="s">
        <v>79</v>
      </c>
      <c r="C23" s="52">
        <v>38589</v>
      </c>
      <c r="E23" s="24">
        <v>46306.8</v>
      </c>
      <c r="H23">
        <v>0</v>
      </c>
      <c r="J23" s="24">
        <v>46306.8</v>
      </c>
      <c r="L23" s="24">
        <v>6355229.8760000002</v>
      </c>
    </row>
    <row r="24" spans="1:12">
      <c r="C24"/>
      <c r="H24">
        <v>0</v>
      </c>
      <c r="J24" s="24">
        <v>0</v>
      </c>
      <c r="L24" s="24">
        <v>1560186</v>
      </c>
    </row>
    <row r="25" spans="1:12">
      <c r="A25" t="s">
        <v>80</v>
      </c>
      <c r="C25" s="50">
        <v>73793</v>
      </c>
      <c r="E25" s="24">
        <v>88551.6</v>
      </c>
      <c r="G25">
        <v>7052.68</v>
      </c>
      <c r="H25">
        <v>8463.2160000000003</v>
      </c>
      <c r="J25" s="24">
        <v>80088.384000000005</v>
      </c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pageSetUpPr fitToPage="1"/>
  </sheetPr>
  <dimension ref="A1:M58"/>
  <sheetViews>
    <sheetView topLeftCell="A28" zoomScaleNormal="100" workbookViewId="0">
      <selection activeCell="M2" sqref="M2"/>
    </sheetView>
  </sheetViews>
  <sheetFormatPr defaultRowHeight="12.75"/>
  <cols>
    <col min="1" max="1" width="8.7109375" customWidth="1"/>
    <col min="2" max="2" width="11.140625" customWidth="1"/>
    <col min="3" max="3" width="44.85546875" customWidth="1"/>
    <col min="4" max="4" width="5.28515625" customWidth="1"/>
    <col min="5" max="5" width="15.85546875" customWidth="1"/>
    <col min="6" max="6" width="16.85546875" hidden="1" customWidth="1"/>
    <col min="7" max="8" width="19.28515625" customWidth="1"/>
    <col min="9" max="9" width="18.28515625" customWidth="1"/>
    <col min="10" max="10" width="16.7109375" customWidth="1"/>
    <col min="11" max="11" width="13.28515625" customWidth="1"/>
    <col min="12" max="12" width="15.42578125" customWidth="1"/>
    <col min="13" max="13" width="11.28515625" customWidth="1"/>
    <col min="14" max="1025" width="8.7109375" customWidth="1"/>
  </cols>
  <sheetData>
    <row r="1" spans="1:13" ht="21" customHeight="1">
      <c r="A1" s="334" t="s">
        <v>81</v>
      </c>
      <c r="B1" s="334"/>
      <c r="C1" s="334"/>
    </row>
    <row r="2" spans="1:13" ht="32.25" customHeight="1">
      <c r="A2" s="335" t="s">
        <v>82</v>
      </c>
      <c r="B2" s="335"/>
      <c r="C2" s="335"/>
      <c r="D2" s="335"/>
      <c r="E2" s="335"/>
      <c r="F2" s="335"/>
    </row>
    <row r="3" spans="1:13" ht="9" customHeight="1"/>
    <row r="4" spans="1:13" ht="50.25" customHeight="1">
      <c r="A4" s="336" t="s">
        <v>1</v>
      </c>
      <c r="B4" s="336"/>
      <c r="C4" s="336"/>
      <c r="D4" s="336"/>
      <c r="E4" s="53" t="s">
        <v>83</v>
      </c>
      <c r="F4" s="53" t="s">
        <v>84</v>
      </c>
      <c r="G4" s="54" t="s">
        <v>85</v>
      </c>
      <c r="H4" s="54" t="s">
        <v>86</v>
      </c>
      <c r="I4" s="54" t="s">
        <v>87</v>
      </c>
      <c r="J4" s="54" t="s">
        <v>88</v>
      </c>
      <c r="K4" s="54" t="s">
        <v>89</v>
      </c>
      <c r="L4" s="55" t="s">
        <v>90</v>
      </c>
    </row>
    <row r="5" spans="1:13">
      <c r="A5" s="337">
        <v>1</v>
      </c>
      <c r="B5" s="337"/>
      <c r="C5" s="337"/>
      <c r="D5" s="337"/>
      <c r="E5" s="56">
        <v>2</v>
      </c>
      <c r="F5" s="56">
        <v>3</v>
      </c>
      <c r="G5" s="56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</row>
    <row r="6" spans="1:13">
      <c r="A6" s="338" t="s">
        <v>91</v>
      </c>
      <c r="B6" s="338"/>
      <c r="C6" s="338"/>
      <c r="D6" s="57" t="s">
        <v>6</v>
      </c>
      <c r="E6" s="58">
        <v>0</v>
      </c>
      <c r="F6" s="58">
        <v>1414.6</v>
      </c>
      <c r="G6" s="58">
        <v>1414.6</v>
      </c>
      <c r="H6" s="58">
        <v>1414.6</v>
      </c>
      <c r="I6" s="58">
        <v>1414.6</v>
      </c>
      <c r="J6" s="58">
        <v>1414.6</v>
      </c>
      <c r="K6" s="58">
        <v>1414.6</v>
      </c>
      <c r="L6" s="58">
        <v>1414.6</v>
      </c>
    </row>
    <row r="7" spans="1:13">
      <c r="A7" s="13" t="s">
        <v>15</v>
      </c>
      <c r="B7" s="338" t="s">
        <v>92</v>
      </c>
      <c r="C7" s="338"/>
      <c r="D7" s="57" t="s">
        <v>10</v>
      </c>
      <c r="E7" s="58">
        <v>0</v>
      </c>
      <c r="F7" s="58">
        <v>1216.4000000000001</v>
      </c>
      <c r="G7" s="58">
        <v>1216.4000000000001</v>
      </c>
      <c r="H7" s="58">
        <v>1216.4000000000001</v>
      </c>
      <c r="I7" s="58">
        <v>1216.4000000000001</v>
      </c>
      <c r="J7" s="58">
        <v>1216.4000000000001</v>
      </c>
      <c r="K7" s="58">
        <v>1216.4000000000001</v>
      </c>
      <c r="L7" s="58">
        <v>1216.4000000000001</v>
      </c>
    </row>
    <row r="8" spans="1:13">
      <c r="A8" s="338" t="s">
        <v>93</v>
      </c>
      <c r="B8" s="338"/>
      <c r="C8" s="338"/>
      <c r="D8" s="57" t="s">
        <v>12</v>
      </c>
      <c r="E8" s="58">
        <f t="shared" ref="E8:L8" si="0">E9+E11+E12+E13</f>
        <v>17565.8</v>
      </c>
      <c r="F8" s="58">
        <f t="shared" si="0"/>
        <v>18311.7</v>
      </c>
      <c r="G8" s="58">
        <f t="shared" si="0"/>
        <v>18311.7</v>
      </c>
      <c r="H8" s="58">
        <f t="shared" si="0"/>
        <v>18311.7</v>
      </c>
      <c r="I8" s="58">
        <f t="shared" si="0"/>
        <v>18311.7</v>
      </c>
      <c r="J8" s="58">
        <f t="shared" si="0"/>
        <v>18311.7</v>
      </c>
      <c r="K8" s="58">
        <f t="shared" si="0"/>
        <v>18311.7</v>
      </c>
      <c r="L8" s="58">
        <f t="shared" si="0"/>
        <v>18311.7</v>
      </c>
    </row>
    <row r="9" spans="1:13">
      <c r="A9" s="336" t="s">
        <v>94</v>
      </c>
      <c r="B9" s="339" t="s">
        <v>95</v>
      </c>
      <c r="C9" s="339"/>
      <c r="D9" s="57" t="s">
        <v>14</v>
      </c>
      <c r="E9" s="58">
        <v>14972.8</v>
      </c>
      <c r="F9" s="58">
        <v>15718.7</v>
      </c>
      <c r="G9" s="58">
        <v>15718.7</v>
      </c>
      <c r="H9" s="58">
        <v>15718.7</v>
      </c>
      <c r="I9" s="58">
        <v>15718.7</v>
      </c>
      <c r="J9" s="58">
        <v>15718.7</v>
      </c>
      <c r="K9" s="58">
        <v>15718.7</v>
      </c>
      <c r="L9" s="58">
        <v>15718.7</v>
      </c>
    </row>
    <row r="10" spans="1:13" ht="33.75">
      <c r="A10" s="336"/>
      <c r="B10" s="59" t="s">
        <v>96</v>
      </c>
      <c r="C10" s="60" t="s">
        <v>97</v>
      </c>
      <c r="D10" s="57" t="s">
        <v>17</v>
      </c>
      <c r="E10" s="61">
        <v>718.69</v>
      </c>
      <c r="F10" s="58"/>
      <c r="G10" s="58"/>
      <c r="H10" s="58"/>
      <c r="I10" s="58"/>
      <c r="J10" s="58"/>
      <c r="K10" s="58">
        <v>797.8</v>
      </c>
      <c r="L10" s="58"/>
      <c r="M10" s="24">
        <f>(J7+J9)*4.8%</f>
        <v>812.88480000000015</v>
      </c>
    </row>
    <row r="11" spans="1:13">
      <c r="A11" s="336"/>
      <c r="B11" s="338" t="s">
        <v>98</v>
      </c>
      <c r="C11" s="338"/>
      <c r="D11" s="57" t="s">
        <v>19</v>
      </c>
      <c r="E11" s="61">
        <v>1706</v>
      </c>
      <c r="F11" s="58">
        <v>1706</v>
      </c>
      <c r="G11" s="58">
        <v>1706</v>
      </c>
      <c r="H11" s="58">
        <v>1706</v>
      </c>
      <c r="I11" s="58">
        <v>1706</v>
      </c>
      <c r="J11" s="58">
        <v>1706</v>
      </c>
      <c r="K11" s="58">
        <v>1706</v>
      </c>
      <c r="L11" s="58">
        <v>1706</v>
      </c>
    </row>
    <row r="12" spans="1:13">
      <c r="A12" s="336"/>
      <c r="B12" s="338" t="s">
        <v>99</v>
      </c>
      <c r="C12" s="338"/>
      <c r="D12" s="57" t="s">
        <v>21</v>
      </c>
      <c r="E12" s="61">
        <v>50</v>
      </c>
      <c r="F12" s="58">
        <v>50</v>
      </c>
      <c r="G12" s="58">
        <v>50</v>
      </c>
      <c r="H12" s="58">
        <v>50</v>
      </c>
      <c r="I12" s="58">
        <v>50</v>
      </c>
      <c r="J12" s="58">
        <v>50</v>
      </c>
      <c r="K12" s="58">
        <v>50</v>
      </c>
      <c r="L12" s="58">
        <v>50</v>
      </c>
    </row>
    <row r="13" spans="1:13">
      <c r="A13" s="336"/>
      <c r="B13" s="338" t="s">
        <v>100</v>
      </c>
      <c r="C13" s="338"/>
      <c r="D13" s="57" t="s">
        <v>24</v>
      </c>
      <c r="E13" s="61">
        <v>837</v>
      </c>
      <c r="F13" s="58">
        <v>837</v>
      </c>
      <c r="G13" s="58">
        <v>837</v>
      </c>
      <c r="H13" s="58">
        <v>837</v>
      </c>
      <c r="I13" s="58">
        <v>837</v>
      </c>
      <c r="J13" s="58">
        <v>837</v>
      </c>
      <c r="K13" s="58">
        <v>837</v>
      </c>
      <c r="L13" s="58">
        <v>837</v>
      </c>
    </row>
    <row r="14" spans="1:13">
      <c r="A14" s="338" t="s">
        <v>101</v>
      </c>
      <c r="B14" s="338"/>
      <c r="C14" s="338"/>
      <c r="D14" s="57" t="s">
        <v>27</v>
      </c>
      <c r="E14" s="61">
        <f t="shared" ref="E14:L14" si="1">E15+E21+E27+E33</f>
        <v>17565.839999999997</v>
      </c>
      <c r="F14" s="58">
        <f t="shared" si="1"/>
        <v>2238.6</v>
      </c>
      <c r="G14" s="58">
        <f t="shared" si="1"/>
        <v>13081.999999999998</v>
      </c>
      <c r="H14" s="58">
        <f t="shared" si="1"/>
        <v>4477.7999999999993</v>
      </c>
      <c r="I14" s="58">
        <f t="shared" si="1"/>
        <v>16105.199999999999</v>
      </c>
      <c r="J14" s="58">
        <f t="shared" si="1"/>
        <v>3908.7399999999993</v>
      </c>
      <c r="K14" s="58">
        <f t="shared" si="1"/>
        <v>19726.3</v>
      </c>
      <c r="L14" s="58">
        <f t="shared" si="1"/>
        <v>6643.6999999999989</v>
      </c>
    </row>
    <row r="15" spans="1:13">
      <c r="A15" s="340" t="s">
        <v>8</v>
      </c>
      <c r="B15" s="338" t="s">
        <v>102</v>
      </c>
      <c r="C15" s="338"/>
      <c r="D15" s="57" t="s">
        <v>103</v>
      </c>
      <c r="E15" s="61">
        <f t="shared" ref="E15:L15" si="2">E16+E17+E18+E19+E20</f>
        <v>14766.99</v>
      </c>
      <c r="F15" s="58">
        <f t="shared" si="2"/>
        <v>0</v>
      </c>
      <c r="G15" s="58">
        <f t="shared" si="2"/>
        <v>10450.1</v>
      </c>
      <c r="H15" s="58">
        <f t="shared" si="2"/>
        <v>2159.4</v>
      </c>
      <c r="I15" s="58">
        <f t="shared" si="2"/>
        <v>13323.499999999998</v>
      </c>
      <c r="J15" s="58">
        <f t="shared" si="2"/>
        <v>1443.4899999999996</v>
      </c>
      <c r="K15" s="58">
        <f t="shared" si="2"/>
        <v>16689.899999999998</v>
      </c>
      <c r="L15" s="58">
        <f t="shared" si="2"/>
        <v>4080.3999999999996</v>
      </c>
      <c r="M15" s="24">
        <f>L15/3</f>
        <v>1360.1333333333332</v>
      </c>
    </row>
    <row r="16" spans="1:13">
      <c r="A16" s="340"/>
      <c r="B16" s="336" t="s">
        <v>8</v>
      </c>
      <c r="C16" s="13" t="s">
        <v>104</v>
      </c>
      <c r="D16" s="57" t="s">
        <v>105</v>
      </c>
      <c r="E16" s="61">
        <v>8402.65</v>
      </c>
      <c r="F16" s="58"/>
      <c r="G16" s="58">
        <v>7480.8</v>
      </c>
      <c r="H16" s="58">
        <v>1572.3</v>
      </c>
      <c r="I16" s="58">
        <f>H16+G16</f>
        <v>9053.1</v>
      </c>
      <c r="J16" s="58">
        <f>E16-I16</f>
        <v>-650.45000000000073</v>
      </c>
      <c r="K16" s="58">
        <f>10275+500+20+59.1</f>
        <v>10854.1</v>
      </c>
      <c r="L16" s="58">
        <f>K16-I16</f>
        <v>1801</v>
      </c>
    </row>
    <row r="17" spans="1:13">
      <c r="A17" s="340"/>
      <c r="B17" s="336"/>
      <c r="C17" s="13" t="s">
        <v>106</v>
      </c>
      <c r="D17" s="57" t="s">
        <v>107</v>
      </c>
      <c r="E17" s="61">
        <v>360</v>
      </c>
      <c r="F17" s="58"/>
      <c r="G17" s="58">
        <v>261.8</v>
      </c>
      <c r="H17" s="58">
        <v>54</v>
      </c>
      <c r="I17" s="58">
        <f>H17+G17</f>
        <v>315.8</v>
      </c>
      <c r="J17" s="58">
        <f>E17-I17</f>
        <v>44.199999999999989</v>
      </c>
      <c r="K17" s="58">
        <v>460</v>
      </c>
      <c r="L17" s="58">
        <f>K17-I17</f>
        <v>144.19999999999999</v>
      </c>
    </row>
    <row r="18" spans="1:13">
      <c r="A18" s="340"/>
      <c r="B18" s="336"/>
      <c r="C18" s="13" t="s">
        <v>108</v>
      </c>
      <c r="D18" s="57" t="s">
        <v>109</v>
      </c>
      <c r="E18" s="61">
        <v>5130.34</v>
      </c>
      <c r="F18" s="58"/>
      <c r="G18" s="58">
        <f>2636.5+16.5</f>
        <v>2653</v>
      </c>
      <c r="H18" s="58">
        <f>501.7+16.5</f>
        <v>518.20000000000005</v>
      </c>
      <c r="I18" s="58">
        <f>H18+G18</f>
        <v>3171.2</v>
      </c>
      <c r="J18" s="58">
        <f>E18-I18</f>
        <v>1959.1400000000003</v>
      </c>
      <c r="K18" s="58">
        <f>5130.3-500-59.1</f>
        <v>4571.2</v>
      </c>
      <c r="L18" s="58">
        <f>K18-I18</f>
        <v>1400</v>
      </c>
      <c r="M18" s="24">
        <f>M15+M21</f>
        <v>1468.3666666666666</v>
      </c>
    </row>
    <row r="19" spans="1:13">
      <c r="A19" s="340"/>
      <c r="B19" s="336"/>
      <c r="C19" s="13" t="s">
        <v>110</v>
      </c>
      <c r="D19" s="57" t="s">
        <v>111</v>
      </c>
      <c r="E19" s="61">
        <v>714</v>
      </c>
      <c r="F19" s="58"/>
      <c r="G19" s="58"/>
      <c r="H19" s="58"/>
      <c r="I19" s="58">
        <v>714</v>
      </c>
      <c r="J19" s="58">
        <f>E19-I19</f>
        <v>0</v>
      </c>
      <c r="K19" s="61">
        <v>714</v>
      </c>
      <c r="L19" s="61">
        <v>714</v>
      </c>
    </row>
    <row r="20" spans="1:13">
      <c r="A20" s="340"/>
      <c r="B20" s="336"/>
      <c r="C20" s="13" t="s">
        <v>112</v>
      </c>
      <c r="D20" s="57" t="s">
        <v>113</v>
      </c>
      <c r="E20" s="61">
        <v>160</v>
      </c>
      <c r="F20" s="58"/>
      <c r="G20" s="58">
        <v>54.5</v>
      </c>
      <c r="H20" s="58">
        <v>14.9</v>
      </c>
      <c r="I20" s="58">
        <f>H20+G20</f>
        <v>69.400000000000006</v>
      </c>
      <c r="J20" s="58">
        <f>E20-I20</f>
        <v>90.6</v>
      </c>
      <c r="K20" s="58">
        <v>90.6</v>
      </c>
      <c r="L20" s="58">
        <f>K20-I20</f>
        <v>21.199999999999989</v>
      </c>
    </row>
    <row r="21" spans="1:13">
      <c r="A21" s="340"/>
      <c r="B21" s="338" t="s">
        <v>114</v>
      </c>
      <c r="C21" s="338"/>
      <c r="D21" s="57" t="s">
        <v>115</v>
      </c>
      <c r="E21" s="61">
        <f t="shared" ref="E21:L21" si="3">E22+E23+E24+E25+E26</f>
        <v>769.75</v>
      </c>
      <c r="F21" s="58">
        <f t="shared" si="3"/>
        <v>0</v>
      </c>
      <c r="G21" s="58">
        <f t="shared" si="3"/>
        <v>393.3</v>
      </c>
      <c r="H21" s="58">
        <f t="shared" si="3"/>
        <v>79.800000000000011</v>
      </c>
      <c r="I21" s="58">
        <f t="shared" si="3"/>
        <v>543.1</v>
      </c>
      <c r="J21" s="58">
        <f t="shared" si="3"/>
        <v>226.65000000000006</v>
      </c>
      <c r="K21" s="58">
        <f t="shared" si="3"/>
        <v>797.8</v>
      </c>
      <c r="L21" s="58">
        <f t="shared" si="3"/>
        <v>324.7</v>
      </c>
      <c r="M21" s="24">
        <f>L21/3</f>
        <v>108.23333333333333</v>
      </c>
    </row>
    <row r="22" spans="1:13">
      <c r="A22" s="340"/>
      <c r="B22" s="336" t="s">
        <v>8</v>
      </c>
      <c r="C22" s="13" t="s">
        <v>104</v>
      </c>
      <c r="D22" s="57" t="s">
        <v>116</v>
      </c>
      <c r="E22" s="61">
        <v>30</v>
      </c>
      <c r="F22" s="58"/>
      <c r="G22" s="58">
        <v>46.1</v>
      </c>
      <c r="H22" s="58">
        <v>11.9</v>
      </c>
      <c r="I22" s="58">
        <f>H22+G22</f>
        <v>58</v>
      </c>
      <c r="J22" s="58">
        <f>E22-I22</f>
        <v>-28</v>
      </c>
      <c r="K22" s="58">
        <v>78</v>
      </c>
      <c r="L22" s="58">
        <f>K22-I22</f>
        <v>20</v>
      </c>
    </row>
    <row r="23" spans="1:13">
      <c r="A23" s="340"/>
      <c r="B23" s="336"/>
      <c r="C23" s="13" t="s">
        <v>106</v>
      </c>
      <c r="D23" s="57" t="s">
        <v>117</v>
      </c>
      <c r="E23" s="61">
        <v>33.799999999999997</v>
      </c>
      <c r="F23" s="58"/>
      <c r="G23" s="58">
        <v>16.100000000000001</v>
      </c>
      <c r="H23" s="58">
        <v>3.2</v>
      </c>
      <c r="I23" s="58">
        <f>H23+G23</f>
        <v>19.3</v>
      </c>
      <c r="J23" s="58">
        <f>E23-I23</f>
        <v>14.499999999999996</v>
      </c>
      <c r="K23" s="58">
        <v>33.799999999999997</v>
      </c>
      <c r="L23" s="58">
        <f>K23-I23</f>
        <v>14.499999999999996</v>
      </c>
    </row>
    <row r="24" spans="1:13">
      <c r="A24" s="340"/>
      <c r="B24" s="336"/>
      <c r="C24" s="13" t="s">
        <v>118</v>
      </c>
      <c r="D24" s="57" t="s">
        <v>119</v>
      </c>
      <c r="E24" s="61">
        <v>625.95000000000005</v>
      </c>
      <c r="F24" s="58"/>
      <c r="G24" s="58">
        <v>328.5</v>
      </c>
      <c r="H24" s="58">
        <v>64.7</v>
      </c>
      <c r="I24" s="58">
        <f>H24+G24</f>
        <v>393.2</v>
      </c>
      <c r="J24" s="58">
        <f>E24-I24</f>
        <v>232.75000000000006</v>
      </c>
      <c r="K24" s="58">
        <f>626-20</f>
        <v>606</v>
      </c>
      <c r="L24" s="58">
        <f>K24-I24</f>
        <v>212.8</v>
      </c>
    </row>
    <row r="25" spans="1:13">
      <c r="A25" s="340"/>
      <c r="B25" s="336"/>
      <c r="C25" s="13" t="s">
        <v>110</v>
      </c>
      <c r="D25" s="57" t="s">
        <v>120</v>
      </c>
      <c r="E25" s="61">
        <v>70</v>
      </c>
      <c r="F25" s="58"/>
      <c r="G25" s="58"/>
      <c r="H25" s="58"/>
      <c r="I25" s="58">
        <v>70</v>
      </c>
      <c r="J25" s="58">
        <f>E25-I25</f>
        <v>0</v>
      </c>
      <c r="K25" s="61">
        <v>70</v>
      </c>
      <c r="L25" s="58">
        <v>70</v>
      </c>
    </row>
    <row r="26" spans="1:13">
      <c r="A26" s="340"/>
      <c r="B26" s="336"/>
      <c r="C26" s="13" t="s">
        <v>112</v>
      </c>
      <c r="D26" s="57" t="s">
        <v>121</v>
      </c>
      <c r="E26" s="61">
        <v>10</v>
      </c>
      <c r="F26" s="58"/>
      <c r="G26" s="58">
        <v>2.6</v>
      </c>
      <c r="H26" s="58"/>
      <c r="I26" s="58">
        <f>H26+G26</f>
        <v>2.6</v>
      </c>
      <c r="J26" s="58">
        <f>E26-I26</f>
        <v>7.4</v>
      </c>
      <c r="K26" s="58">
        <v>10</v>
      </c>
      <c r="L26" s="58">
        <f>K26-I26</f>
        <v>7.4</v>
      </c>
    </row>
    <row r="27" spans="1:13">
      <c r="A27" s="340"/>
      <c r="B27" s="338" t="s">
        <v>122</v>
      </c>
      <c r="C27" s="338"/>
      <c r="D27" s="57" t="s">
        <v>123</v>
      </c>
      <c r="E27" s="61">
        <v>2000</v>
      </c>
      <c r="F27" s="58">
        <f>E32+2007.2</f>
        <v>2207.1999999999998</v>
      </c>
      <c r="G27" s="58">
        <v>2207.1999999999998</v>
      </c>
      <c r="H27" s="58">
        <v>2207.1999999999998</v>
      </c>
      <c r="I27" s="58">
        <v>2207.1999999999998</v>
      </c>
      <c r="J27" s="58">
        <v>2207.1999999999998</v>
      </c>
      <c r="K27" s="58">
        <v>2207.1999999999998</v>
      </c>
      <c r="L27" s="58">
        <v>2207.1999999999998</v>
      </c>
    </row>
    <row r="28" spans="1:13">
      <c r="A28" s="340"/>
      <c r="B28" s="336" t="s">
        <v>15</v>
      </c>
      <c r="C28" s="13" t="s">
        <v>124</v>
      </c>
      <c r="D28" s="57" t="s">
        <v>125</v>
      </c>
      <c r="E28" s="61">
        <v>704</v>
      </c>
      <c r="F28" s="58"/>
      <c r="G28" s="58"/>
      <c r="H28" s="58"/>
      <c r="I28" s="58"/>
      <c r="J28" s="58"/>
      <c r="K28" s="58"/>
      <c r="L28" s="58"/>
    </row>
    <row r="29" spans="1:13">
      <c r="A29" s="340"/>
      <c r="B29" s="336"/>
      <c r="C29" s="13" t="s">
        <v>126</v>
      </c>
      <c r="D29" s="57" t="s">
        <v>127</v>
      </c>
      <c r="E29" s="61"/>
      <c r="F29" s="58"/>
      <c r="G29" s="58"/>
      <c r="H29" s="58"/>
      <c r="I29" s="58"/>
      <c r="J29" s="58"/>
      <c r="K29" s="58"/>
      <c r="L29" s="58"/>
    </row>
    <row r="30" spans="1:13">
      <c r="A30" s="340"/>
      <c r="B30" s="336"/>
      <c r="C30" s="13" t="s">
        <v>128</v>
      </c>
      <c r="D30" s="57" t="s">
        <v>129</v>
      </c>
      <c r="E30" s="61">
        <v>151</v>
      </c>
      <c r="F30" s="58"/>
      <c r="G30" s="58"/>
      <c r="H30" s="58"/>
      <c r="I30" s="58"/>
      <c r="J30" s="58"/>
      <c r="K30" s="58"/>
      <c r="L30" s="58"/>
    </row>
    <row r="31" spans="1:13">
      <c r="A31" s="340"/>
      <c r="B31" s="336"/>
      <c r="C31" s="13" t="s">
        <v>130</v>
      </c>
      <c r="D31" s="57" t="s">
        <v>131</v>
      </c>
      <c r="E31" s="61">
        <v>200</v>
      </c>
      <c r="F31" s="58"/>
      <c r="G31" s="58"/>
      <c r="H31" s="58"/>
      <c r="I31" s="58"/>
      <c r="J31" s="58"/>
      <c r="K31" s="58"/>
      <c r="L31" s="58"/>
    </row>
    <row r="32" spans="1:13">
      <c r="A32" s="340"/>
      <c r="B32" s="336"/>
      <c r="C32" s="13" t="s">
        <v>132</v>
      </c>
      <c r="D32" s="57" t="s">
        <v>133</v>
      </c>
      <c r="E32" s="61">
        <v>200</v>
      </c>
      <c r="F32" s="58"/>
      <c r="G32" s="58"/>
      <c r="H32" s="58"/>
      <c r="I32" s="58"/>
      <c r="J32" s="58"/>
      <c r="K32" s="58"/>
      <c r="L32" s="58"/>
    </row>
    <row r="33" spans="1:12" ht="29.25" customHeight="1">
      <c r="A33" s="340"/>
      <c r="B33" s="341" t="s">
        <v>134</v>
      </c>
      <c r="C33" s="341"/>
      <c r="D33" s="57" t="s">
        <v>135</v>
      </c>
      <c r="E33" s="61">
        <v>29.1</v>
      </c>
      <c r="F33" s="58">
        <v>31.4</v>
      </c>
      <c r="G33" s="58">
        <v>31.4</v>
      </c>
      <c r="H33" s="58">
        <v>31.4</v>
      </c>
      <c r="I33" s="58">
        <v>31.4</v>
      </c>
      <c r="J33" s="58">
        <v>31.4</v>
      </c>
      <c r="K33" s="58">
        <v>31.4</v>
      </c>
      <c r="L33" s="58">
        <v>31.4</v>
      </c>
    </row>
    <row r="34" spans="1:12">
      <c r="A34" s="338" t="s">
        <v>136</v>
      </c>
      <c r="B34" s="338"/>
      <c r="C34" s="338"/>
      <c r="D34" s="57" t="s">
        <v>137</v>
      </c>
      <c r="E34" s="61">
        <f>E6+E8-E14</f>
        <v>-3.9999999997235136E-2</v>
      </c>
      <c r="F34" s="58">
        <f>F6+F8-F14</f>
        <v>17487.7</v>
      </c>
      <c r="G34" s="58">
        <f>G6+G8-G14</f>
        <v>6644.3000000000011</v>
      </c>
      <c r="H34" s="62"/>
      <c r="I34" s="58">
        <f>I6+I8-I14</f>
        <v>3621.1000000000004</v>
      </c>
      <c r="J34" s="62"/>
      <c r="K34" s="58">
        <f>K6+K8-K14</f>
        <v>0</v>
      </c>
      <c r="L34" s="62"/>
    </row>
    <row r="35" spans="1:12">
      <c r="A35" s="13" t="s">
        <v>15</v>
      </c>
      <c r="B35" s="338" t="s">
        <v>92</v>
      </c>
      <c r="C35" s="338"/>
      <c r="D35" s="57">
        <v>30</v>
      </c>
      <c r="E35" s="58"/>
      <c r="F35" s="58"/>
      <c r="G35" s="58"/>
      <c r="H35" s="58"/>
      <c r="I35" s="58"/>
      <c r="J35" s="58"/>
      <c r="K35" s="58"/>
      <c r="L35" s="58"/>
    </row>
    <row r="42" spans="1:12">
      <c r="C42" s="13" t="s">
        <v>138</v>
      </c>
      <c r="D42" s="13"/>
      <c r="E42" s="58">
        <v>15718.7</v>
      </c>
    </row>
    <row r="43" spans="1:12">
      <c r="C43" s="13" t="s">
        <v>139</v>
      </c>
      <c r="D43" s="13"/>
      <c r="E43" s="58">
        <v>1216.4000000000001</v>
      </c>
    </row>
    <row r="44" spans="1:12">
      <c r="C44" s="13" t="s">
        <v>140</v>
      </c>
      <c r="D44" s="13"/>
      <c r="E44" s="58">
        <v>200</v>
      </c>
    </row>
    <row r="45" spans="1:12">
      <c r="C45" s="13" t="s">
        <v>141</v>
      </c>
      <c r="D45" s="13"/>
      <c r="E45" s="58">
        <v>31.4</v>
      </c>
    </row>
    <row r="46" spans="1:12">
      <c r="C46" s="13" t="s">
        <v>142</v>
      </c>
      <c r="D46" s="13"/>
      <c r="E46" s="58">
        <f>E42+E43-E44-E45</f>
        <v>16703.7</v>
      </c>
    </row>
    <row r="47" spans="1:12" ht="51">
      <c r="C47" s="54" t="s">
        <v>143</v>
      </c>
      <c r="D47" s="13"/>
      <c r="E47" s="58">
        <f>SUM(E48:E51)</f>
        <v>12609.499999999998</v>
      </c>
    </row>
    <row r="48" spans="1:12">
      <c r="C48" s="13" t="s">
        <v>104</v>
      </c>
      <c r="D48" s="13"/>
      <c r="E48" s="58">
        <v>9053.1</v>
      </c>
    </row>
    <row r="49" spans="3:5">
      <c r="C49" s="13" t="s">
        <v>106</v>
      </c>
      <c r="D49" s="13"/>
      <c r="E49" s="58">
        <v>315.8</v>
      </c>
    </row>
    <row r="50" spans="3:5">
      <c r="C50" s="13" t="s">
        <v>108</v>
      </c>
      <c r="D50" s="13"/>
      <c r="E50" s="58">
        <v>3171.2</v>
      </c>
    </row>
    <row r="51" spans="3:5">
      <c r="C51" s="13" t="s">
        <v>112</v>
      </c>
      <c r="D51" s="13"/>
      <c r="E51" s="58">
        <v>69.400000000000006</v>
      </c>
    </row>
    <row r="52" spans="3:5" ht="38.25">
      <c r="C52" s="54" t="s">
        <v>144</v>
      </c>
      <c r="D52" s="13"/>
      <c r="E52" s="58">
        <f>SUM(E53:E56)</f>
        <v>473.1</v>
      </c>
    </row>
    <row r="53" spans="3:5">
      <c r="C53" s="13" t="s">
        <v>104</v>
      </c>
      <c r="D53" s="13"/>
      <c r="E53" s="58">
        <v>58</v>
      </c>
    </row>
    <row r="54" spans="3:5">
      <c r="C54" s="13" t="s">
        <v>106</v>
      </c>
      <c r="D54" s="13"/>
      <c r="E54" s="58">
        <v>19.3</v>
      </c>
    </row>
    <row r="55" spans="3:5">
      <c r="C55" s="13" t="s">
        <v>118</v>
      </c>
      <c r="D55" s="13"/>
      <c r="E55" s="58">
        <v>393.2</v>
      </c>
    </row>
    <row r="56" spans="3:5">
      <c r="C56" s="13" t="s">
        <v>112</v>
      </c>
      <c r="D56" s="13"/>
      <c r="E56" s="58">
        <v>2.6</v>
      </c>
    </row>
    <row r="57" spans="3:5">
      <c r="C57" s="13" t="s">
        <v>145</v>
      </c>
      <c r="D57" s="13"/>
      <c r="E57" s="58">
        <f>E46-E47-E52</f>
        <v>3621.1000000000026</v>
      </c>
    </row>
    <row r="58" spans="3:5">
      <c r="C58" s="63" t="s">
        <v>146</v>
      </c>
    </row>
  </sheetData>
  <mergeCells count="23">
    <mergeCell ref="A34:C34"/>
    <mergeCell ref="B35:C35"/>
    <mergeCell ref="A14:C14"/>
    <mergeCell ref="A15:A33"/>
    <mergeCell ref="B15:C15"/>
    <mergeCell ref="B16:B20"/>
    <mergeCell ref="B21:C21"/>
    <mergeCell ref="B22:B26"/>
    <mergeCell ref="B27:C27"/>
    <mergeCell ref="B28:B32"/>
    <mergeCell ref="B33:C33"/>
    <mergeCell ref="B7:C7"/>
    <mergeCell ref="A8:C8"/>
    <mergeCell ref="A9:A13"/>
    <mergeCell ref="B9:C9"/>
    <mergeCell ref="B11:C11"/>
    <mergeCell ref="B12:C12"/>
    <mergeCell ref="B13:C13"/>
    <mergeCell ref="A1:C1"/>
    <mergeCell ref="A2:F2"/>
    <mergeCell ref="A4:D4"/>
    <mergeCell ref="A5:D5"/>
    <mergeCell ref="A6:C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8"/>
  <dimension ref="A1:K127"/>
  <sheetViews>
    <sheetView zoomScaleNormal="100" workbookViewId="0">
      <selection activeCell="H51" sqref="H51"/>
    </sheetView>
  </sheetViews>
  <sheetFormatPr defaultRowHeight="12.75"/>
  <cols>
    <col min="1" max="1" width="4.7109375" customWidth="1"/>
    <col min="2" max="2" width="6.5703125" customWidth="1"/>
    <col min="3" max="3" width="59.42578125" customWidth="1"/>
    <col min="4" max="4" width="5.28515625" customWidth="1"/>
    <col min="5" max="5" width="15.85546875" style="69" hidden="1" customWidth="1"/>
    <col min="6" max="6" width="16" style="70" hidden="1" customWidth="1"/>
    <col min="7" max="7" width="16" hidden="1" customWidth="1"/>
    <col min="8" max="8" width="15.7109375" style="71" customWidth="1"/>
    <col min="9" max="9" width="15.140625" customWidth="1"/>
    <col min="10" max="11" width="11.28515625" customWidth="1"/>
    <col min="12" max="1025" width="9.140625" customWidth="1"/>
  </cols>
  <sheetData>
    <row r="1" spans="1:10" ht="76.5" customHeight="1">
      <c r="A1" s="342" t="s">
        <v>180</v>
      </c>
      <c r="B1" s="342"/>
      <c r="C1" s="342"/>
    </row>
    <row r="2" spans="1:10">
      <c r="A2" s="342" t="s">
        <v>181</v>
      </c>
      <c r="B2" s="342"/>
      <c r="C2" s="342"/>
    </row>
    <row r="3" spans="1:10">
      <c r="A3" s="72"/>
      <c r="B3" s="72"/>
      <c r="C3" s="72"/>
    </row>
    <row r="4" spans="1:10" ht="44.25" customHeight="1">
      <c r="A4" s="343" t="s">
        <v>182</v>
      </c>
      <c r="B4" s="343"/>
      <c r="C4" s="343"/>
      <c r="D4" s="343"/>
      <c r="E4" s="343"/>
    </row>
    <row r="5" spans="1:10">
      <c r="A5" s="344"/>
      <c r="B5" s="344"/>
      <c r="C5" s="344"/>
      <c r="D5" s="344"/>
      <c r="E5" s="344"/>
    </row>
    <row r="6" spans="1:10" ht="30" customHeight="1">
      <c r="A6" s="345" t="s">
        <v>183</v>
      </c>
      <c r="B6" s="345"/>
      <c r="C6" s="345"/>
      <c r="D6" s="345"/>
      <c r="E6" s="345"/>
    </row>
    <row r="8" spans="1:10">
      <c r="A8" s="346" t="s">
        <v>184</v>
      </c>
      <c r="B8" s="346"/>
      <c r="C8" s="346"/>
      <c r="D8" s="346"/>
    </row>
    <row r="10" spans="1:10" ht="40.5" customHeight="1">
      <c r="A10" s="347" t="s">
        <v>149</v>
      </c>
      <c r="B10" s="347"/>
      <c r="C10" s="347"/>
      <c r="D10" s="347"/>
      <c r="E10" s="73" t="s">
        <v>185</v>
      </c>
      <c r="F10" s="74" t="s">
        <v>3</v>
      </c>
      <c r="G10" s="74" t="s">
        <v>186</v>
      </c>
      <c r="H10" s="74" t="s">
        <v>187</v>
      </c>
    </row>
    <row r="11" spans="1:10">
      <c r="A11" s="348">
        <v>1</v>
      </c>
      <c r="B11" s="348"/>
      <c r="C11" s="348"/>
      <c r="D11" s="348"/>
      <c r="E11" s="75">
        <v>2</v>
      </c>
      <c r="F11" s="76">
        <v>2</v>
      </c>
      <c r="G11" s="76">
        <v>3</v>
      </c>
      <c r="H11" s="76">
        <v>4</v>
      </c>
    </row>
    <row r="12" spans="1:10" ht="28.5" customHeight="1">
      <c r="A12" s="349" t="s">
        <v>188</v>
      </c>
      <c r="B12" s="349"/>
      <c r="C12" s="349"/>
      <c r="D12" s="57" t="s">
        <v>6</v>
      </c>
      <c r="E12" s="77">
        <f>E13+E34</f>
        <v>144981.70000000001</v>
      </c>
      <c r="F12" s="61">
        <f>F13+F34</f>
        <v>0</v>
      </c>
      <c r="G12" s="61">
        <f>G13+G34</f>
        <v>31861.966666666667</v>
      </c>
      <c r="H12" s="61">
        <f>H13+H34</f>
        <v>146881.5</v>
      </c>
    </row>
    <row r="13" spans="1:10" ht="20.25" customHeight="1">
      <c r="A13" s="350" t="s">
        <v>189</v>
      </c>
      <c r="B13" s="350"/>
      <c r="C13" s="350"/>
      <c r="D13" s="57" t="s">
        <v>10</v>
      </c>
      <c r="E13" s="77">
        <f>E14+E22+E32+E33</f>
        <v>128359.2</v>
      </c>
      <c r="F13" s="61">
        <f>F14+F22+F32+F33</f>
        <v>0</v>
      </c>
      <c r="G13" s="61">
        <f>G14+G22+G32+G33</f>
        <v>31041.966666666667</v>
      </c>
      <c r="H13" s="61">
        <f>H14+H22+H32+H33</f>
        <v>136827.20000000001</v>
      </c>
    </row>
    <row r="14" spans="1:10" ht="18" customHeight="1">
      <c r="A14" s="340" t="s">
        <v>190</v>
      </c>
      <c r="B14" s="340"/>
      <c r="C14" s="340"/>
      <c r="D14" s="57" t="s">
        <v>12</v>
      </c>
      <c r="E14" s="77">
        <f>E15+E17+E18+E20</f>
        <v>116174</v>
      </c>
      <c r="F14" s="61">
        <f>F15+F17+F18+F20</f>
        <v>0</v>
      </c>
      <c r="G14" s="61">
        <f>G15+G17+G18+G20</f>
        <v>19340.466666666667</v>
      </c>
      <c r="H14" s="61">
        <f>H15+H17+H18+H20</f>
        <v>125125.7</v>
      </c>
    </row>
    <row r="15" spans="1:10">
      <c r="A15" s="351" t="s">
        <v>8</v>
      </c>
      <c r="B15" s="339" t="s">
        <v>191</v>
      </c>
      <c r="C15" s="339"/>
      <c r="D15" s="57" t="s">
        <v>14</v>
      </c>
      <c r="E15" s="77">
        <v>95301.4</v>
      </c>
      <c r="F15" s="61"/>
      <c r="G15" s="61"/>
      <c r="H15" s="61">
        <f>96125.7+4000+1500</f>
        <v>101625.7</v>
      </c>
      <c r="J15" s="78"/>
    </row>
    <row r="16" spans="1:10">
      <c r="A16" s="351"/>
      <c r="B16" s="56" t="s">
        <v>15</v>
      </c>
      <c r="C16" s="56" t="s">
        <v>192</v>
      </c>
      <c r="D16" s="57" t="s">
        <v>17</v>
      </c>
      <c r="E16" s="77">
        <v>93660.800000000003</v>
      </c>
      <c r="F16" s="61"/>
      <c r="G16" s="61"/>
      <c r="H16" s="61">
        <f>H15</f>
        <v>101625.7</v>
      </c>
    </row>
    <row r="17" spans="1:10">
      <c r="A17" s="351"/>
      <c r="B17" s="339" t="s">
        <v>193</v>
      </c>
      <c r="C17" s="339"/>
      <c r="D17" s="57" t="s">
        <v>19</v>
      </c>
      <c r="E17" s="77">
        <v>0</v>
      </c>
      <c r="F17" s="61">
        <v>0</v>
      </c>
      <c r="G17" s="61">
        <v>0</v>
      </c>
      <c r="H17" s="61">
        <v>0</v>
      </c>
    </row>
    <row r="18" spans="1:10">
      <c r="A18" s="351"/>
      <c r="B18" s="339" t="s">
        <v>194</v>
      </c>
      <c r="C18" s="339"/>
      <c r="D18" s="57" t="s">
        <v>21</v>
      </c>
      <c r="E18" s="77">
        <v>12523.5</v>
      </c>
      <c r="F18" s="61"/>
      <c r="G18" s="61">
        <f>7336.9/0.6</f>
        <v>12228.166666666666</v>
      </c>
      <c r="H18" s="61">
        <f>14000</f>
        <v>14000</v>
      </c>
      <c r="J18" s="78"/>
    </row>
    <row r="19" spans="1:10">
      <c r="A19" s="351"/>
      <c r="B19" s="13" t="s">
        <v>15</v>
      </c>
      <c r="C19" s="13" t="s">
        <v>195</v>
      </c>
      <c r="D19" s="57" t="s">
        <v>24</v>
      </c>
      <c r="E19" s="77">
        <v>9745.7000000000007</v>
      </c>
      <c r="F19" s="61"/>
      <c r="G19" s="61">
        <f>5997.7/0.55</f>
        <v>10904.90909090909</v>
      </c>
      <c r="H19" s="61">
        <v>11500</v>
      </c>
    </row>
    <row r="20" spans="1:10">
      <c r="A20" s="351"/>
      <c r="B20" s="339" t="s">
        <v>67</v>
      </c>
      <c r="C20" s="339"/>
      <c r="D20" s="57" t="s">
        <v>27</v>
      </c>
      <c r="E20" s="77">
        <v>8349.1</v>
      </c>
      <c r="F20" s="61"/>
      <c r="G20" s="61">
        <v>7112.3</v>
      </c>
      <c r="H20" s="61">
        <v>9500</v>
      </c>
    </row>
    <row r="21" spans="1:10">
      <c r="A21" s="351"/>
      <c r="B21" s="13" t="s">
        <v>15</v>
      </c>
      <c r="C21" s="13" t="s">
        <v>196</v>
      </c>
      <c r="D21" s="57" t="s">
        <v>103</v>
      </c>
      <c r="E21" s="77">
        <v>3199.6</v>
      </c>
      <c r="F21" s="61"/>
      <c r="G21" s="61">
        <v>376.9</v>
      </c>
      <c r="H21" s="61">
        <v>376.9</v>
      </c>
    </row>
    <row r="22" spans="1:10" ht="21" customHeight="1">
      <c r="A22" s="336" t="s">
        <v>197</v>
      </c>
      <c r="B22" s="336"/>
      <c r="C22" s="336"/>
      <c r="D22" s="57" t="s">
        <v>105</v>
      </c>
      <c r="E22" s="77">
        <f>E23+E24+E26+E28+E29+E30+E25</f>
        <v>12085.2</v>
      </c>
      <c r="F22" s="61">
        <f>F23+F24+F26+F28+F29+F30+F25</f>
        <v>0</v>
      </c>
      <c r="G22" s="61">
        <f>G23+G24+G26+G28+G29+G30+G25</f>
        <v>11601.5</v>
      </c>
      <c r="H22" s="61">
        <f>H23+H24+H26+H28+H29+H30+H25</f>
        <v>11601.5</v>
      </c>
    </row>
    <row r="23" spans="1:10">
      <c r="A23" s="351" t="s">
        <v>8</v>
      </c>
      <c r="B23" s="339" t="s">
        <v>198</v>
      </c>
      <c r="C23" s="339"/>
      <c r="D23" s="57" t="s">
        <v>107</v>
      </c>
      <c r="E23" s="77">
        <v>5868.3</v>
      </c>
      <c r="F23" s="61"/>
      <c r="G23" s="61">
        <v>3007.5</v>
      </c>
      <c r="H23" s="61">
        <v>3007.5</v>
      </c>
    </row>
    <row r="24" spans="1:10" ht="27.75" customHeight="1">
      <c r="A24" s="351"/>
      <c r="B24" s="341" t="s">
        <v>199</v>
      </c>
      <c r="C24" s="341"/>
      <c r="D24" s="57" t="s">
        <v>109</v>
      </c>
      <c r="E24" s="77">
        <v>495.8</v>
      </c>
      <c r="F24" s="61"/>
      <c r="G24" s="61">
        <v>140</v>
      </c>
      <c r="H24" s="61">
        <v>140</v>
      </c>
    </row>
    <row r="25" spans="1:10" ht="27.75" customHeight="1">
      <c r="A25" s="351"/>
      <c r="B25" s="341" t="s">
        <v>200</v>
      </c>
      <c r="C25" s="341"/>
      <c r="D25" s="57" t="s">
        <v>111</v>
      </c>
      <c r="E25" s="77">
        <v>3469.1</v>
      </c>
      <c r="F25" s="61"/>
      <c r="G25" s="61">
        <v>4662.5</v>
      </c>
      <c r="H25" s="61">
        <v>4662.5</v>
      </c>
    </row>
    <row r="26" spans="1:10">
      <c r="A26" s="351"/>
      <c r="B26" s="339" t="s">
        <v>201</v>
      </c>
      <c r="C26" s="339"/>
      <c r="D26" s="57" t="s">
        <v>113</v>
      </c>
      <c r="E26" s="77">
        <v>280.7</v>
      </c>
      <c r="F26" s="61"/>
      <c r="G26" s="61">
        <v>36</v>
      </c>
      <c r="H26" s="61">
        <v>36</v>
      </c>
    </row>
    <row r="27" spans="1:10">
      <c r="A27" s="351"/>
      <c r="B27" s="13" t="s">
        <v>15</v>
      </c>
      <c r="C27" s="13" t="s">
        <v>202</v>
      </c>
      <c r="D27" s="57" t="s">
        <v>115</v>
      </c>
      <c r="E27" s="77">
        <v>191.1</v>
      </c>
      <c r="F27" s="61">
        <v>0</v>
      </c>
      <c r="G27" s="61">
        <v>0</v>
      </c>
      <c r="H27" s="61">
        <v>0</v>
      </c>
    </row>
    <row r="28" spans="1:10">
      <c r="A28" s="351"/>
      <c r="B28" s="339" t="s">
        <v>203</v>
      </c>
      <c r="C28" s="339"/>
      <c r="D28" s="57" t="s">
        <v>116</v>
      </c>
      <c r="E28" s="77">
        <v>0</v>
      </c>
      <c r="F28" s="61"/>
      <c r="G28" s="61">
        <v>123.6</v>
      </c>
      <c r="H28" s="61">
        <v>123.6</v>
      </c>
    </row>
    <row r="29" spans="1:10" ht="26.25" customHeight="1">
      <c r="A29" s="351"/>
      <c r="B29" s="341" t="s">
        <v>204</v>
      </c>
      <c r="C29" s="341"/>
      <c r="D29" s="57" t="s">
        <v>117</v>
      </c>
      <c r="E29" s="77">
        <v>1786.8</v>
      </c>
      <c r="F29" s="61"/>
      <c r="G29" s="61">
        <v>3628.7</v>
      </c>
      <c r="H29" s="61">
        <v>3628.7</v>
      </c>
    </row>
    <row r="30" spans="1:10">
      <c r="A30" s="351"/>
      <c r="B30" s="339" t="s">
        <v>67</v>
      </c>
      <c r="C30" s="339"/>
      <c r="D30" s="57" t="s">
        <v>119</v>
      </c>
      <c r="E30" s="77">
        <v>184.5</v>
      </c>
      <c r="F30" s="61"/>
      <c r="G30" s="61">
        <v>3.2</v>
      </c>
      <c r="H30" s="61">
        <v>3.2</v>
      </c>
    </row>
    <row r="31" spans="1:10">
      <c r="A31" s="351"/>
      <c r="B31" s="13" t="s">
        <v>15</v>
      </c>
      <c r="C31" s="13" t="s">
        <v>196</v>
      </c>
      <c r="D31" s="57" t="s">
        <v>120</v>
      </c>
      <c r="E31" s="77">
        <v>184.5</v>
      </c>
      <c r="F31" s="61"/>
      <c r="G31" s="61">
        <v>3.2</v>
      </c>
      <c r="H31" s="61">
        <v>3.2</v>
      </c>
    </row>
    <row r="32" spans="1:10" ht="18.75" customHeight="1">
      <c r="A32" s="340" t="s">
        <v>163</v>
      </c>
      <c r="B32" s="340"/>
      <c r="C32" s="340"/>
      <c r="D32" s="57" t="s">
        <v>121</v>
      </c>
      <c r="E32" s="77">
        <v>0</v>
      </c>
      <c r="F32" s="61">
        <v>0</v>
      </c>
      <c r="G32" s="61">
        <v>0</v>
      </c>
      <c r="H32" s="61">
        <v>0</v>
      </c>
    </row>
    <row r="33" spans="1:10" ht="16.5" customHeight="1">
      <c r="A33" s="340" t="s">
        <v>164</v>
      </c>
      <c r="B33" s="340"/>
      <c r="C33" s="340"/>
      <c r="D33" s="57" t="s">
        <v>123</v>
      </c>
      <c r="E33" s="77">
        <v>100</v>
      </c>
      <c r="F33" s="61"/>
      <c r="G33" s="61">
        <v>100</v>
      </c>
      <c r="H33" s="61">
        <v>100</v>
      </c>
    </row>
    <row r="34" spans="1:10" ht="17.25" customHeight="1">
      <c r="A34" s="349" t="s">
        <v>205</v>
      </c>
      <c r="B34" s="349"/>
      <c r="C34" s="349"/>
      <c r="D34" s="57" t="s">
        <v>125</v>
      </c>
      <c r="E34" s="61">
        <f>E35+E36</f>
        <v>16622.5</v>
      </c>
      <c r="F34" s="61">
        <f>F35+F36</f>
        <v>0</v>
      </c>
      <c r="G34" s="61">
        <f>G35+G36</f>
        <v>820</v>
      </c>
      <c r="H34" s="61">
        <f>H35+H36</f>
        <v>10054.299999999999</v>
      </c>
    </row>
    <row r="35" spans="1:10" ht="15.75" customHeight="1">
      <c r="A35" s="340" t="s">
        <v>206</v>
      </c>
      <c r="B35" s="340"/>
      <c r="C35" s="340"/>
      <c r="D35" s="57" t="s">
        <v>127</v>
      </c>
      <c r="E35" s="77">
        <v>20</v>
      </c>
      <c r="F35" s="61"/>
      <c r="G35" s="61">
        <v>20</v>
      </c>
      <c r="H35" s="61">
        <v>20</v>
      </c>
    </row>
    <row r="36" spans="1:10" ht="20.25" customHeight="1">
      <c r="A36" s="340" t="s">
        <v>207</v>
      </c>
      <c r="B36" s="340"/>
      <c r="C36" s="340"/>
      <c r="D36" s="57" t="s">
        <v>129</v>
      </c>
      <c r="E36" s="61">
        <f>E37+E38</f>
        <v>16602.5</v>
      </c>
      <c r="F36" s="61">
        <f>F37+F38</f>
        <v>0</v>
      </c>
      <c r="G36" s="61">
        <f>G37+G38</f>
        <v>800</v>
      </c>
      <c r="H36" s="61">
        <f>H37+H38</f>
        <v>10034.299999999999</v>
      </c>
    </row>
    <row r="37" spans="1:10" ht="20.25" customHeight="1">
      <c r="A37" s="352" t="s">
        <v>8</v>
      </c>
      <c r="B37" s="340" t="s">
        <v>208</v>
      </c>
      <c r="C37" s="340"/>
      <c r="D37" s="57" t="s">
        <v>131</v>
      </c>
      <c r="E37" s="77">
        <v>3755</v>
      </c>
      <c r="F37" s="61"/>
      <c r="G37" s="61"/>
      <c r="H37" s="61"/>
      <c r="J37" s="78">
        <f>3758.9-H37</f>
        <v>3758.9</v>
      </c>
    </row>
    <row r="38" spans="1:10" ht="20.25" customHeight="1">
      <c r="A38" s="352"/>
      <c r="B38" s="340" t="s">
        <v>209</v>
      </c>
      <c r="C38" s="340"/>
      <c r="D38" s="57" t="s">
        <v>133</v>
      </c>
      <c r="E38" s="77">
        <f>E40+E39+800</f>
        <v>12847.5</v>
      </c>
      <c r="F38" s="61"/>
      <c r="G38" s="61">
        <f>800+G39+G40</f>
        <v>800</v>
      </c>
      <c r="H38" s="61">
        <f>800+H39+H40</f>
        <v>10034.299999999999</v>
      </c>
    </row>
    <row r="39" spans="1:10" ht="39.75" customHeight="1">
      <c r="A39" s="352"/>
      <c r="B39" s="352" t="s">
        <v>15</v>
      </c>
      <c r="C39" s="79" t="s">
        <v>210</v>
      </c>
      <c r="D39" s="57" t="s">
        <v>135</v>
      </c>
      <c r="E39" s="77">
        <v>12047.5</v>
      </c>
      <c r="F39" s="61"/>
      <c r="G39" s="61"/>
      <c r="H39" s="61">
        <v>9234.2999999999993</v>
      </c>
      <c r="J39" s="78"/>
    </row>
    <row r="40" spans="1:10" ht="37.5" customHeight="1">
      <c r="A40" s="352"/>
      <c r="B40" s="352"/>
      <c r="C40" s="79" t="s">
        <v>211</v>
      </c>
      <c r="D40" s="57" t="s">
        <v>137</v>
      </c>
      <c r="E40" s="77">
        <v>0</v>
      </c>
      <c r="F40" s="61">
        <v>0</v>
      </c>
      <c r="G40" s="61">
        <v>0</v>
      </c>
      <c r="H40" s="61">
        <v>0</v>
      </c>
    </row>
    <row r="41" spans="1:10">
      <c r="A41" s="80"/>
      <c r="D41" s="81"/>
      <c r="G41" s="70"/>
      <c r="H41" s="70"/>
    </row>
    <row r="42" spans="1:10" ht="31.5" customHeight="1">
      <c r="A42" s="353" t="s">
        <v>212</v>
      </c>
      <c r="B42" s="353"/>
      <c r="C42" s="353"/>
      <c r="D42" s="353"/>
      <c r="G42" s="70"/>
      <c r="H42" s="70"/>
    </row>
    <row r="43" spans="1:10" ht="47.25" customHeight="1">
      <c r="A43" s="347" t="s">
        <v>149</v>
      </c>
      <c r="B43" s="347"/>
      <c r="C43" s="347"/>
      <c r="D43" s="347"/>
      <c r="E43" s="73" t="s">
        <v>185</v>
      </c>
      <c r="F43" s="74" t="s">
        <v>3</v>
      </c>
      <c r="G43" s="74" t="s">
        <v>186</v>
      </c>
      <c r="H43" s="74" t="s">
        <v>187</v>
      </c>
    </row>
    <row r="44" spans="1:10">
      <c r="A44" s="348">
        <v>1</v>
      </c>
      <c r="B44" s="348"/>
      <c r="C44" s="348"/>
      <c r="D44" s="348"/>
      <c r="E44" s="82">
        <v>2</v>
      </c>
      <c r="F44" s="83">
        <v>3</v>
      </c>
      <c r="G44" s="83">
        <v>3</v>
      </c>
      <c r="H44" s="83">
        <v>3</v>
      </c>
    </row>
    <row r="45" spans="1:10">
      <c r="A45" s="349" t="s">
        <v>213</v>
      </c>
      <c r="B45" s="349"/>
      <c r="C45" s="349"/>
      <c r="D45" s="57" t="s">
        <v>214</v>
      </c>
      <c r="E45" s="77">
        <f>E46+E74</f>
        <v>151605.5</v>
      </c>
      <c r="F45" s="61">
        <f>F46+F74</f>
        <v>0</v>
      </c>
      <c r="G45" s="61">
        <f>G46+G74</f>
        <v>37922.899999999994</v>
      </c>
      <c r="H45" s="61">
        <f>H46+H74</f>
        <v>153288.20000000001</v>
      </c>
      <c r="J45" s="78"/>
    </row>
    <row r="46" spans="1:10">
      <c r="A46" s="338" t="s">
        <v>215</v>
      </c>
      <c r="B46" s="338"/>
      <c r="C46" s="338"/>
      <c r="D46" s="57" t="s">
        <v>216</v>
      </c>
      <c r="E46" s="77">
        <f>E64</f>
        <v>151555.5</v>
      </c>
      <c r="F46" s="61">
        <f>F64</f>
        <v>0</v>
      </c>
      <c r="G46" s="61">
        <f>G64</f>
        <v>37922.899999999994</v>
      </c>
      <c r="H46" s="61">
        <f>H64</f>
        <v>153238.20000000001</v>
      </c>
    </row>
    <row r="47" spans="1:10">
      <c r="A47" s="338" t="s">
        <v>165</v>
      </c>
      <c r="B47" s="338"/>
      <c r="C47" s="338"/>
      <c r="D47" s="57" t="s">
        <v>217</v>
      </c>
      <c r="E47" s="77">
        <v>15447.7</v>
      </c>
      <c r="F47" s="61"/>
      <c r="G47" s="61"/>
      <c r="H47" s="61">
        <v>12040.5</v>
      </c>
      <c r="J47" s="78"/>
    </row>
    <row r="48" spans="1:10">
      <c r="A48" s="338" t="s">
        <v>166</v>
      </c>
      <c r="B48" s="338"/>
      <c r="C48" s="338"/>
      <c r="D48" s="57" t="s">
        <v>218</v>
      </c>
      <c r="E48" s="77">
        <v>10416.299999999999</v>
      </c>
      <c r="F48" s="61"/>
      <c r="G48" s="61">
        <v>10262.5</v>
      </c>
      <c r="H48" s="61">
        <v>10200</v>
      </c>
      <c r="J48" s="78"/>
    </row>
    <row r="49" spans="1:11" hidden="1">
      <c r="A49" s="339" t="s">
        <v>219</v>
      </c>
      <c r="B49" s="339"/>
      <c r="C49" s="339"/>
      <c r="D49" s="57" t="s">
        <v>220</v>
      </c>
      <c r="E49" s="77" t="s">
        <v>221</v>
      </c>
      <c r="F49" s="61"/>
      <c r="G49" s="61"/>
      <c r="H49" s="61"/>
    </row>
    <row r="50" spans="1:11">
      <c r="A50" s="338" t="s">
        <v>167</v>
      </c>
      <c r="B50" s="338"/>
      <c r="C50" s="338"/>
      <c r="D50" s="57" t="s">
        <v>222</v>
      </c>
      <c r="E50" s="77">
        <v>10680.2</v>
      </c>
      <c r="F50" s="61"/>
      <c r="G50" s="61">
        <v>7939.1</v>
      </c>
      <c r="H50" s="61">
        <v>7000</v>
      </c>
      <c r="J50" s="78"/>
    </row>
    <row r="51" spans="1:11">
      <c r="A51" s="338" t="s">
        <v>168</v>
      </c>
      <c r="B51" s="338"/>
      <c r="C51" s="338"/>
      <c r="D51" s="57" t="s">
        <v>223</v>
      </c>
      <c r="E51" s="77">
        <v>100</v>
      </c>
      <c r="F51" s="61"/>
      <c r="G51" s="61">
        <v>42</v>
      </c>
      <c r="H51" s="61">
        <v>100</v>
      </c>
    </row>
    <row r="52" spans="1:11">
      <c r="A52" s="338" t="s">
        <v>169</v>
      </c>
      <c r="B52" s="338"/>
      <c r="C52" s="338"/>
      <c r="D52" s="57" t="s">
        <v>224</v>
      </c>
      <c r="E52" s="77">
        <f>E53+1000</f>
        <v>82403.3</v>
      </c>
      <c r="F52" s="61"/>
      <c r="G52" s="61">
        <f>2600+G53</f>
        <v>2600</v>
      </c>
      <c r="H52" s="61">
        <f>2600+H53</f>
        <v>91054.1</v>
      </c>
      <c r="J52" s="78"/>
    </row>
    <row r="53" spans="1:11" ht="25.5" customHeight="1">
      <c r="A53" s="84"/>
      <c r="B53" s="340" t="s">
        <v>225</v>
      </c>
      <c r="C53" s="340"/>
      <c r="D53" s="57" t="s">
        <v>226</v>
      </c>
      <c r="E53" s="77">
        <f>81894.8-491.5</f>
        <v>81403.3</v>
      </c>
      <c r="F53" s="61"/>
      <c r="G53" s="61"/>
      <c r="H53" s="61">
        <v>88454.1</v>
      </c>
      <c r="J53" s="78"/>
      <c r="K53" s="78"/>
    </row>
    <row r="54" spans="1:11">
      <c r="A54" s="340" t="s">
        <v>227</v>
      </c>
      <c r="B54" s="340"/>
      <c r="C54" s="340"/>
      <c r="D54" s="57" t="s">
        <v>228</v>
      </c>
      <c r="E54" s="77">
        <f>SUM(E55:E58)+300</f>
        <v>24579.3</v>
      </c>
      <c r="F54" s="61"/>
      <c r="G54" s="61">
        <f>G55+G56+G57+G58+300</f>
        <v>10143.6</v>
      </c>
      <c r="H54" s="61">
        <f>H55+H56+H57+H58+300</f>
        <v>25843.599999999999</v>
      </c>
    </row>
    <row r="55" spans="1:11" ht="12.75" customHeight="1">
      <c r="A55" s="354" t="s">
        <v>15</v>
      </c>
      <c r="B55" s="340" t="s">
        <v>171</v>
      </c>
      <c r="C55" s="340"/>
      <c r="D55" s="57" t="s">
        <v>229</v>
      </c>
      <c r="E55" s="77">
        <v>16101.6</v>
      </c>
      <c r="F55" s="61"/>
      <c r="G55" s="61"/>
      <c r="H55" s="61">
        <v>15700</v>
      </c>
    </row>
    <row r="56" spans="1:11">
      <c r="A56" s="354"/>
      <c r="B56" s="340" t="s">
        <v>173</v>
      </c>
      <c r="C56" s="340"/>
      <c r="D56" s="57" t="s">
        <v>230</v>
      </c>
      <c r="E56" s="77">
        <v>3657.7</v>
      </c>
      <c r="F56" s="61"/>
      <c r="G56" s="61">
        <v>3788.1</v>
      </c>
      <c r="H56" s="61">
        <v>3788.1</v>
      </c>
    </row>
    <row r="57" spans="1:11" ht="27.75" customHeight="1">
      <c r="A57" s="354"/>
      <c r="B57" s="352" t="s">
        <v>231</v>
      </c>
      <c r="C57" s="352"/>
      <c r="D57" s="57" t="s">
        <v>232</v>
      </c>
      <c r="E57" s="77">
        <v>4520</v>
      </c>
      <c r="F57" s="61"/>
      <c r="G57" s="61">
        <v>6055.5</v>
      </c>
      <c r="H57" s="61">
        <v>6055.5</v>
      </c>
    </row>
    <row r="58" spans="1:11">
      <c r="A58" s="354"/>
      <c r="B58" s="340" t="s">
        <v>233</v>
      </c>
      <c r="C58" s="340"/>
      <c r="D58" s="57" t="s">
        <v>234</v>
      </c>
      <c r="E58" s="77">
        <v>0</v>
      </c>
      <c r="F58" s="61">
        <v>0</v>
      </c>
      <c r="G58" s="61">
        <v>0</v>
      </c>
      <c r="H58" s="61">
        <v>0</v>
      </c>
    </row>
    <row r="59" spans="1:11">
      <c r="A59" s="340" t="s">
        <v>176</v>
      </c>
      <c r="B59" s="340"/>
      <c r="C59" s="340"/>
      <c r="D59" s="57" t="s">
        <v>235</v>
      </c>
      <c r="E59" s="77">
        <v>7928.7</v>
      </c>
      <c r="F59" s="61"/>
      <c r="G59" s="61">
        <v>6935.7</v>
      </c>
      <c r="H59" s="61">
        <v>7000</v>
      </c>
    </row>
    <row r="60" spans="1:11" ht="12.75" customHeight="1">
      <c r="A60" s="354" t="s">
        <v>15</v>
      </c>
      <c r="B60" s="340" t="s">
        <v>236</v>
      </c>
      <c r="C60" s="340"/>
      <c r="D60" s="57" t="s">
        <v>237</v>
      </c>
      <c r="E60" s="77">
        <v>981.5</v>
      </c>
      <c r="F60" s="61"/>
      <c r="G60" s="61">
        <v>400</v>
      </c>
      <c r="H60" s="61">
        <v>400</v>
      </c>
    </row>
    <row r="61" spans="1:11" ht="25.5" hidden="1" customHeight="1">
      <c r="A61" s="354"/>
      <c r="B61" s="340" t="s">
        <v>238</v>
      </c>
      <c r="C61" s="340"/>
      <c r="D61" s="57" t="s">
        <v>239</v>
      </c>
      <c r="E61" s="77"/>
      <c r="F61" s="61"/>
      <c r="G61" s="61"/>
      <c r="H61" s="61"/>
    </row>
    <row r="62" spans="1:11">
      <c r="A62" s="340" t="s">
        <v>240</v>
      </c>
      <c r="B62" s="340"/>
      <c r="C62" s="340"/>
      <c r="D62" s="57" t="s">
        <v>241</v>
      </c>
      <c r="E62" s="77">
        <f>E47+E48+E50+E51+E52+E54+E59</f>
        <v>151555.5</v>
      </c>
      <c r="F62" s="61">
        <f>F47+F48+F50+F51+F52+F54+F59</f>
        <v>0</v>
      </c>
      <c r="G62" s="61">
        <f>G47+G48+G50+G51+G52+G54+G59</f>
        <v>37922.899999999994</v>
      </c>
      <c r="H62" s="61">
        <f>H47+H48+H50+H51+H52+H54+H59</f>
        <v>153238.20000000001</v>
      </c>
    </row>
    <row r="63" spans="1:11">
      <c r="A63" s="340" t="s">
        <v>242</v>
      </c>
      <c r="B63" s="340"/>
      <c r="C63" s="340"/>
      <c r="D63" s="86" t="s">
        <v>243</v>
      </c>
      <c r="E63" s="77">
        <v>0</v>
      </c>
      <c r="F63" s="61">
        <v>0</v>
      </c>
      <c r="G63" s="61">
        <v>0</v>
      </c>
      <c r="H63" s="61">
        <v>0</v>
      </c>
    </row>
    <row r="64" spans="1:11">
      <c r="A64" s="340" t="s">
        <v>244</v>
      </c>
      <c r="B64" s="340"/>
      <c r="C64" s="340"/>
      <c r="D64" s="86" t="s">
        <v>245</v>
      </c>
      <c r="E64" s="77">
        <f>E62+E63</f>
        <v>151555.5</v>
      </c>
      <c r="F64" s="61">
        <f>F62+F63</f>
        <v>0</v>
      </c>
      <c r="G64" s="61">
        <f>G62+G63</f>
        <v>37922.899999999994</v>
      </c>
      <c r="H64" s="61">
        <f>H62+H63</f>
        <v>153238.20000000001</v>
      </c>
    </row>
    <row r="65" spans="1:8">
      <c r="A65" s="355" t="s">
        <v>246</v>
      </c>
      <c r="B65" s="355"/>
      <c r="C65" s="355"/>
      <c r="D65" s="86" t="s">
        <v>247</v>
      </c>
      <c r="E65" s="77"/>
      <c r="F65" s="61">
        <f>F15</f>
        <v>0</v>
      </c>
      <c r="G65" s="61">
        <f>G15</f>
        <v>0</v>
      </c>
      <c r="H65" s="61">
        <f>H15</f>
        <v>101625.7</v>
      </c>
    </row>
    <row r="66" spans="1:8">
      <c r="A66" s="355" t="s">
        <v>248</v>
      </c>
      <c r="B66" s="355"/>
      <c r="C66" s="355"/>
      <c r="D66" s="86" t="s">
        <v>249</v>
      </c>
      <c r="E66" s="77"/>
      <c r="F66" s="61">
        <f>F64-F65-F72</f>
        <v>0</v>
      </c>
      <c r="G66" s="61">
        <f>G64-G65-G72</f>
        <v>26321.399999999994</v>
      </c>
      <c r="H66" s="61">
        <f>H64-H65-H72</f>
        <v>40011.000000000015</v>
      </c>
    </row>
    <row r="67" spans="1:8">
      <c r="A67" s="340" t="s">
        <v>250</v>
      </c>
      <c r="B67" s="340"/>
      <c r="C67" s="340"/>
      <c r="D67" s="86" t="s">
        <v>251</v>
      </c>
      <c r="E67" s="77"/>
      <c r="F67" s="61">
        <f>F65+F66</f>
        <v>0</v>
      </c>
      <c r="G67" s="61">
        <f>G65+G66</f>
        <v>26321.399999999994</v>
      </c>
      <c r="H67" s="61">
        <f>H65+H66</f>
        <v>141636.70000000001</v>
      </c>
    </row>
    <row r="68" spans="1:8" ht="12.75" customHeight="1">
      <c r="A68" s="354" t="s">
        <v>15</v>
      </c>
      <c r="B68" s="340" t="s">
        <v>252</v>
      </c>
      <c r="C68" s="340"/>
      <c r="D68" s="86" t="s">
        <v>253</v>
      </c>
      <c r="E68" s="77"/>
      <c r="F68" s="61"/>
      <c r="G68" s="61"/>
      <c r="H68" s="61"/>
    </row>
    <row r="69" spans="1:8">
      <c r="A69" s="354"/>
      <c r="B69" s="340" t="s">
        <v>254</v>
      </c>
      <c r="C69" s="340"/>
      <c r="D69" s="86" t="s">
        <v>255</v>
      </c>
      <c r="E69" s="77"/>
      <c r="F69" s="61">
        <f>F19</f>
        <v>0</v>
      </c>
      <c r="G69" s="61">
        <f>G19</f>
        <v>10904.90909090909</v>
      </c>
      <c r="H69" s="61">
        <f>H19</f>
        <v>11500</v>
      </c>
    </row>
    <row r="70" spans="1:8">
      <c r="A70" s="340" t="s">
        <v>256</v>
      </c>
      <c r="B70" s="340"/>
      <c r="C70" s="340"/>
      <c r="D70" s="57" t="s">
        <v>257</v>
      </c>
      <c r="E70" s="77">
        <f>E22</f>
        <v>12085.2</v>
      </c>
      <c r="F70" s="61">
        <f>F22-F28</f>
        <v>0</v>
      </c>
      <c r="G70" s="61">
        <f>G22-G28</f>
        <v>11477.9</v>
      </c>
      <c r="H70" s="61">
        <f>H22-H28</f>
        <v>11477.9</v>
      </c>
    </row>
    <row r="71" spans="1:8">
      <c r="A71" s="340" t="s">
        <v>258</v>
      </c>
      <c r="B71" s="340"/>
      <c r="C71" s="340"/>
      <c r="D71" s="57" t="s">
        <v>259</v>
      </c>
      <c r="E71" s="77">
        <f>E28</f>
        <v>0</v>
      </c>
      <c r="F71" s="61">
        <f>F28</f>
        <v>0</v>
      </c>
      <c r="G71" s="61">
        <f>G28</f>
        <v>123.6</v>
      </c>
      <c r="H71" s="61">
        <f>H28</f>
        <v>123.6</v>
      </c>
    </row>
    <row r="72" spans="1:8">
      <c r="A72" s="340" t="s">
        <v>260</v>
      </c>
      <c r="B72" s="340"/>
      <c r="C72" s="340"/>
      <c r="D72" s="57" t="s">
        <v>261</v>
      </c>
      <c r="E72" s="77">
        <f>E70+E71</f>
        <v>12085.2</v>
      </c>
      <c r="F72" s="61">
        <f>F70+F71</f>
        <v>0</v>
      </c>
      <c r="G72" s="61">
        <f>G70+G71</f>
        <v>11601.5</v>
      </c>
      <c r="H72" s="61">
        <f>H70+H71</f>
        <v>11601.5</v>
      </c>
    </row>
    <row r="73" spans="1:8">
      <c r="A73" s="340" t="s">
        <v>262</v>
      </c>
      <c r="B73" s="340"/>
      <c r="C73" s="340"/>
      <c r="D73" s="87" t="s">
        <v>263</v>
      </c>
      <c r="E73" s="77">
        <v>0</v>
      </c>
      <c r="F73" s="61">
        <v>0</v>
      </c>
      <c r="G73" s="61">
        <v>0</v>
      </c>
      <c r="H73" s="61">
        <v>0</v>
      </c>
    </row>
    <row r="74" spans="1:8" ht="15" customHeight="1">
      <c r="A74" s="350" t="s">
        <v>264</v>
      </c>
      <c r="B74" s="350"/>
      <c r="C74" s="350"/>
      <c r="D74" s="87" t="s">
        <v>265</v>
      </c>
      <c r="E74" s="77">
        <f>E75+E76</f>
        <v>50</v>
      </c>
      <c r="F74" s="61">
        <f>F75+F76</f>
        <v>0</v>
      </c>
      <c r="G74" s="61">
        <f>G75+G76</f>
        <v>0</v>
      </c>
      <c r="H74" s="61">
        <f>H75+H76</f>
        <v>50</v>
      </c>
    </row>
    <row r="75" spans="1:8" ht="15" customHeight="1">
      <c r="A75" s="340" t="s">
        <v>266</v>
      </c>
      <c r="B75" s="340"/>
      <c r="C75" s="340"/>
      <c r="D75" s="87" t="s">
        <v>267</v>
      </c>
      <c r="E75" s="77">
        <v>0</v>
      </c>
      <c r="F75" s="61">
        <v>0</v>
      </c>
      <c r="G75" s="61">
        <v>0</v>
      </c>
      <c r="H75" s="61">
        <v>0</v>
      </c>
    </row>
    <row r="76" spans="1:8" ht="15" customHeight="1">
      <c r="A76" s="340" t="s">
        <v>268</v>
      </c>
      <c r="B76" s="340"/>
      <c r="C76" s="340"/>
      <c r="D76" s="87" t="s">
        <v>269</v>
      </c>
      <c r="E76" s="77">
        <f>E77+E78</f>
        <v>50</v>
      </c>
      <c r="F76" s="61">
        <f>F77+F78</f>
        <v>0</v>
      </c>
      <c r="G76" s="61">
        <f>G77+G78</f>
        <v>0</v>
      </c>
      <c r="H76" s="61">
        <v>50</v>
      </c>
    </row>
    <row r="77" spans="1:8" ht="15" customHeight="1">
      <c r="A77" s="354" t="s">
        <v>8</v>
      </c>
      <c r="B77" s="340" t="s">
        <v>270</v>
      </c>
      <c r="C77" s="340"/>
      <c r="D77" s="87" t="s">
        <v>271</v>
      </c>
      <c r="E77" s="77">
        <v>0</v>
      </c>
      <c r="F77" s="61">
        <v>0</v>
      </c>
      <c r="G77" s="61">
        <v>0</v>
      </c>
      <c r="H77" s="61">
        <v>0</v>
      </c>
    </row>
    <row r="78" spans="1:8" ht="15" customHeight="1">
      <c r="A78" s="354"/>
      <c r="B78" s="340" t="s">
        <v>272</v>
      </c>
      <c r="C78" s="340"/>
      <c r="D78" s="87" t="s">
        <v>273</v>
      </c>
      <c r="E78" s="77">
        <v>50</v>
      </c>
      <c r="F78" s="61"/>
      <c r="G78" s="61"/>
      <c r="H78" s="61"/>
    </row>
    <row r="79" spans="1:8" ht="54.75" customHeight="1">
      <c r="A79" s="354"/>
      <c r="B79" s="352" t="s">
        <v>274</v>
      </c>
      <c r="C79" s="352"/>
      <c r="D79" s="87" t="s">
        <v>275</v>
      </c>
      <c r="E79" s="77">
        <v>0</v>
      </c>
      <c r="F79" s="61">
        <v>0</v>
      </c>
      <c r="G79" s="61">
        <v>0</v>
      </c>
      <c r="H79" s="61">
        <v>0</v>
      </c>
    </row>
    <row r="80" spans="1:8" ht="17.100000000000001" customHeight="1">
      <c r="A80" s="349" t="s">
        <v>276</v>
      </c>
      <c r="B80" s="349"/>
      <c r="C80" s="349"/>
      <c r="D80" s="87" t="s">
        <v>277</v>
      </c>
      <c r="E80" s="88">
        <f>E12-E45</f>
        <v>-6623.7999999999884</v>
      </c>
      <c r="F80" s="61">
        <f>F12-F45</f>
        <v>0</v>
      </c>
      <c r="G80" s="61">
        <f>G12-G45</f>
        <v>-6060.933333333327</v>
      </c>
      <c r="H80" s="61">
        <f>H12-H45</f>
        <v>-6406.7000000000116</v>
      </c>
    </row>
    <row r="81" spans="1:8" ht="17.100000000000001" customHeight="1">
      <c r="A81" s="349" t="s">
        <v>278</v>
      </c>
      <c r="B81" s="349"/>
      <c r="C81" s="349"/>
      <c r="D81" s="87" t="s">
        <v>279</v>
      </c>
      <c r="E81" s="77">
        <v>350</v>
      </c>
      <c r="F81" s="61"/>
      <c r="G81" s="61"/>
      <c r="H81" s="61">
        <v>100</v>
      </c>
    </row>
    <row r="82" spans="1:8" ht="17.100000000000001" customHeight="1">
      <c r="A82" s="340" t="s">
        <v>280</v>
      </c>
      <c r="B82" s="340"/>
      <c r="C82" s="340"/>
      <c r="D82" s="87" t="s">
        <v>281</v>
      </c>
      <c r="E82" s="77">
        <v>300</v>
      </c>
      <c r="F82" s="61"/>
      <c r="G82" s="61"/>
      <c r="H82" s="61"/>
    </row>
    <row r="83" spans="1:8" ht="17.100000000000001" customHeight="1">
      <c r="A83" s="349" t="s">
        <v>282</v>
      </c>
      <c r="B83" s="349"/>
      <c r="C83" s="349"/>
      <c r="D83" s="87" t="s">
        <v>283</v>
      </c>
      <c r="E83" s="77">
        <v>100</v>
      </c>
      <c r="F83" s="61"/>
      <c r="G83" s="61"/>
      <c r="H83" s="61">
        <v>50</v>
      </c>
    </row>
    <row r="84" spans="1:8" ht="17.100000000000001" customHeight="1">
      <c r="A84" s="340" t="s">
        <v>284</v>
      </c>
      <c r="B84" s="340"/>
      <c r="C84" s="340"/>
      <c r="D84" s="87" t="s">
        <v>285</v>
      </c>
      <c r="E84" s="77">
        <v>50</v>
      </c>
      <c r="F84" s="61"/>
      <c r="G84" s="61"/>
      <c r="H84" s="61"/>
    </row>
    <row r="85" spans="1:8" ht="17.100000000000001" customHeight="1">
      <c r="A85" s="349" t="s">
        <v>286</v>
      </c>
      <c r="B85" s="349"/>
      <c r="C85" s="349"/>
      <c r="D85" s="87" t="s">
        <v>287</v>
      </c>
      <c r="E85" s="88">
        <f>E80+E81-E83</f>
        <v>-6373.7999999999884</v>
      </c>
      <c r="F85" s="61">
        <f>F80+F81-F83</f>
        <v>0</v>
      </c>
      <c r="G85" s="61">
        <f>G80+G81-G83</f>
        <v>-6060.933333333327</v>
      </c>
      <c r="H85" s="61">
        <f>H80+H81-H83</f>
        <v>-6356.7000000000116</v>
      </c>
    </row>
    <row r="86" spans="1:8" ht="17.100000000000001" hidden="1" customHeight="1">
      <c r="A86" s="349" t="s">
        <v>288</v>
      </c>
      <c r="B86" s="349"/>
      <c r="C86" s="349"/>
      <c r="D86" s="87" t="s">
        <v>289</v>
      </c>
      <c r="E86" s="88">
        <f>E87+E88</f>
        <v>0</v>
      </c>
      <c r="F86" s="61">
        <f>F87+F88</f>
        <v>0</v>
      </c>
      <c r="G86" s="61">
        <f>G87+G88</f>
        <v>0</v>
      </c>
      <c r="H86" s="61">
        <f>H87+H88</f>
        <v>0</v>
      </c>
    </row>
    <row r="87" spans="1:8" ht="15" hidden="1" customHeight="1">
      <c r="A87" s="340" t="s">
        <v>290</v>
      </c>
      <c r="B87" s="340"/>
      <c r="C87" s="340"/>
      <c r="D87" s="87" t="s">
        <v>291</v>
      </c>
      <c r="E87" s="77">
        <v>0</v>
      </c>
      <c r="F87" s="61">
        <v>0</v>
      </c>
      <c r="G87" s="61">
        <v>0</v>
      </c>
      <c r="H87" s="61">
        <v>0</v>
      </c>
    </row>
    <row r="88" spans="1:8" ht="15" hidden="1" customHeight="1">
      <c r="A88" s="340" t="s">
        <v>292</v>
      </c>
      <c r="B88" s="340"/>
      <c r="C88" s="340"/>
      <c r="D88" s="87" t="s">
        <v>293</v>
      </c>
      <c r="E88" s="77">
        <v>0</v>
      </c>
      <c r="F88" s="61">
        <v>0</v>
      </c>
      <c r="G88" s="61">
        <v>0</v>
      </c>
      <c r="H88" s="61">
        <v>0</v>
      </c>
    </row>
    <row r="89" spans="1:8" ht="17.100000000000001" hidden="1" customHeight="1">
      <c r="A89" s="349" t="s">
        <v>294</v>
      </c>
      <c r="B89" s="349"/>
      <c r="C89" s="349"/>
      <c r="D89" s="87" t="s">
        <v>295</v>
      </c>
      <c r="E89" s="88">
        <f>E85+E86</f>
        <v>-6373.7999999999884</v>
      </c>
      <c r="F89" s="61">
        <f>F85+F86</f>
        <v>0</v>
      </c>
      <c r="G89" s="61">
        <f>G85+G86</f>
        <v>-6060.933333333327</v>
      </c>
      <c r="H89" s="61">
        <f>H85+H86</f>
        <v>-6356.7000000000116</v>
      </c>
    </row>
    <row r="90" spans="1:8" ht="17.100000000000001" customHeight="1">
      <c r="A90" s="340" t="s">
        <v>296</v>
      </c>
      <c r="B90" s="340"/>
      <c r="C90" s="340"/>
      <c r="D90" s="87" t="s">
        <v>297</v>
      </c>
      <c r="E90" s="88">
        <v>0</v>
      </c>
      <c r="F90" s="61">
        <v>0</v>
      </c>
      <c r="G90" s="61">
        <v>0</v>
      </c>
      <c r="H90" s="61">
        <v>0</v>
      </c>
    </row>
    <row r="91" spans="1:8" ht="17.100000000000001" customHeight="1">
      <c r="A91" s="340" t="s">
        <v>298</v>
      </c>
      <c r="B91" s="340"/>
      <c r="C91" s="340"/>
      <c r="D91" s="87" t="s">
        <v>299</v>
      </c>
      <c r="E91" s="88">
        <v>0</v>
      </c>
      <c r="F91" s="61">
        <v>0</v>
      </c>
      <c r="G91" s="61">
        <v>0</v>
      </c>
      <c r="H91" s="61">
        <v>0</v>
      </c>
    </row>
    <row r="92" spans="1:8" ht="17.25" customHeight="1">
      <c r="A92" s="349" t="s">
        <v>300</v>
      </c>
      <c r="B92" s="349"/>
      <c r="C92" s="349"/>
      <c r="D92" s="87" t="s">
        <v>301</v>
      </c>
      <c r="E92" s="88">
        <f>E89-E90-E91</f>
        <v>-6373.7999999999884</v>
      </c>
      <c r="F92" s="61">
        <f>F89-F90-F91</f>
        <v>0</v>
      </c>
      <c r="G92" s="61">
        <f>G89-G90-G91</f>
        <v>-6060.933333333327</v>
      </c>
      <c r="H92" s="61">
        <f>H89-H90-H91</f>
        <v>-6356.7000000000116</v>
      </c>
    </row>
    <row r="93" spans="1:8">
      <c r="D93" s="89"/>
    </row>
    <row r="96" spans="1:8">
      <c r="C96" t="s">
        <v>302</v>
      </c>
      <c r="E96" s="90">
        <f>SUM(E97:E100)</f>
        <v>95301.400000000009</v>
      </c>
    </row>
    <row r="97" spans="3:11">
      <c r="C97" t="s">
        <v>303</v>
      </c>
      <c r="E97" s="91">
        <v>93660.800000000003</v>
      </c>
      <c r="H97">
        <v>94675.7</v>
      </c>
      <c r="I97" s="71"/>
    </row>
    <row r="98" spans="3:11">
      <c r="C98" t="s">
        <v>55</v>
      </c>
      <c r="E98" s="91">
        <v>394</v>
      </c>
      <c r="H98"/>
      <c r="I98" s="71"/>
    </row>
    <row r="99" spans="3:11">
      <c r="C99" t="s">
        <v>304</v>
      </c>
      <c r="E99" s="91">
        <v>226.6</v>
      </c>
      <c r="H99">
        <v>250</v>
      </c>
      <c r="I99" s="71"/>
    </row>
    <row r="100" spans="3:11">
      <c r="C100" t="s">
        <v>305</v>
      </c>
      <c r="E100" s="91">
        <v>1020</v>
      </c>
      <c r="F100" s="70">
        <f>1200</f>
        <v>1200</v>
      </c>
      <c r="H100">
        <v>1200</v>
      </c>
      <c r="I100" s="71"/>
    </row>
    <row r="101" spans="3:11">
      <c r="C101" t="s">
        <v>306</v>
      </c>
      <c r="E101" s="91"/>
      <c r="H101"/>
      <c r="I101" s="71"/>
    </row>
    <row r="102" spans="3:11">
      <c r="E102" s="91"/>
      <c r="H102">
        <f>SUM(H97:H101)</f>
        <v>96125.7</v>
      </c>
      <c r="I102" s="71"/>
    </row>
    <row r="103" spans="3:11">
      <c r="E103" s="91"/>
      <c r="H103"/>
      <c r="I103" s="71"/>
    </row>
    <row r="104" spans="3:11">
      <c r="E104" s="91"/>
      <c r="H104"/>
      <c r="I104" s="71"/>
    </row>
    <row r="105" spans="3:11">
      <c r="E105" s="91"/>
      <c r="H105"/>
      <c r="I105" s="71"/>
    </row>
    <row r="106" spans="3:11">
      <c r="C106" t="s">
        <v>307</v>
      </c>
      <c r="E106" s="91"/>
      <c r="H106"/>
      <c r="I106" s="71"/>
    </row>
    <row r="107" spans="3:11">
      <c r="C107" s="51" t="s">
        <v>308</v>
      </c>
      <c r="D107" s="51"/>
      <c r="E107" s="92"/>
      <c r="F107" s="93"/>
      <c r="H107" s="94">
        <v>3460</v>
      </c>
      <c r="I107" s="71"/>
      <c r="K107" s="24">
        <f>H107+H108+H113+H114</f>
        <v>6368</v>
      </c>
    </row>
    <row r="108" spans="3:11">
      <c r="C108" s="51" t="s">
        <v>309</v>
      </c>
      <c r="D108" s="51"/>
      <c r="E108" s="92"/>
      <c r="F108" s="93"/>
      <c r="H108" s="94">
        <v>680</v>
      </c>
      <c r="I108" s="71"/>
    </row>
    <row r="109" spans="3:11" ht="13.5" customHeight="1">
      <c r="C109" t="s">
        <v>310</v>
      </c>
      <c r="E109" s="91"/>
      <c r="H109" s="24">
        <v>2271.8000000000002</v>
      </c>
      <c r="I109" s="71"/>
      <c r="K109">
        <f>3000+700+200</f>
        <v>3900</v>
      </c>
    </row>
    <row r="110" spans="3:11" ht="13.5" customHeight="1">
      <c r="C110" t="s">
        <v>311</v>
      </c>
      <c r="E110" s="91"/>
      <c r="H110" s="24">
        <v>-1200</v>
      </c>
      <c r="I110" s="71"/>
    </row>
    <row r="111" spans="3:11" ht="13.5" customHeight="1">
      <c r="C111" t="s">
        <v>312</v>
      </c>
      <c r="E111" s="91"/>
      <c r="H111" s="24">
        <f>2541.6-376.9</f>
        <v>2164.6999999999998</v>
      </c>
      <c r="I111" s="71"/>
    </row>
    <row r="112" spans="3:11">
      <c r="C112" t="s">
        <v>313</v>
      </c>
      <c r="E112" s="91"/>
      <c r="H112" s="24">
        <v>2271.1</v>
      </c>
      <c r="I112" s="71"/>
    </row>
    <row r="113" spans="3:9">
      <c r="C113" t="s">
        <v>314</v>
      </c>
      <c r="E113" s="91"/>
      <c r="H113" s="24">
        <f>5288-H107</f>
        <v>1828</v>
      </c>
      <c r="I113" s="71" t="s">
        <v>315</v>
      </c>
    </row>
    <row r="114" spans="3:9">
      <c r="C114" t="s">
        <v>316</v>
      </c>
      <c r="E114" s="91"/>
      <c r="H114" s="24">
        <v>400</v>
      </c>
      <c r="I114" s="71"/>
    </row>
    <row r="115" spans="3:9">
      <c r="C115" t="s">
        <v>317</v>
      </c>
      <c r="E115" s="91"/>
      <c r="H115" s="24">
        <v>381.4</v>
      </c>
      <c r="I115" s="71"/>
    </row>
    <row r="116" spans="3:9">
      <c r="C116" t="s">
        <v>318</v>
      </c>
      <c r="E116" s="91"/>
      <c r="H116" s="24">
        <v>200</v>
      </c>
      <c r="I116" s="71" t="s">
        <v>319</v>
      </c>
    </row>
    <row r="117" spans="3:9">
      <c r="C117" s="51" t="s">
        <v>320</v>
      </c>
      <c r="D117" s="51"/>
      <c r="E117" s="92"/>
      <c r="F117" s="93"/>
      <c r="H117" s="51">
        <f>5204.7-3007.5</f>
        <v>2197.1999999999998</v>
      </c>
      <c r="I117" s="71">
        <f>SUM(H107:H117)</f>
        <v>14654.2</v>
      </c>
    </row>
    <row r="118" spans="3:9">
      <c r="H118"/>
      <c r="I118" s="71"/>
    </row>
    <row r="119" spans="3:9">
      <c r="H119"/>
      <c r="I119" s="71"/>
    </row>
    <row r="120" spans="3:9">
      <c r="H120"/>
      <c r="I120" s="71"/>
    </row>
    <row r="121" spans="3:9">
      <c r="C121" t="s">
        <v>321</v>
      </c>
      <c r="H121"/>
      <c r="I121" s="71"/>
    </row>
    <row r="122" spans="3:9">
      <c r="C122" t="s">
        <v>322</v>
      </c>
      <c r="H122">
        <f>192+33.8</f>
        <v>225.8</v>
      </c>
      <c r="I122" s="71"/>
    </row>
    <row r="123" spans="3:9">
      <c r="H123"/>
      <c r="I123" s="71"/>
    </row>
    <row r="124" spans="3:9">
      <c r="C124" t="s">
        <v>323</v>
      </c>
      <c r="H124">
        <v>700</v>
      </c>
      <c r="I124" s="71"/>
    </row>
    <row r="125" spans="3:9">
      <c r="C125" t="s">
        <v>324</v>
      </c>
      <c r="H125">
        <v>500</v>
      </c>
      <c r="I125" s="71"/>
    </row>
    <row r="126" spans="3:9">
      <c r="C126" t="s">
        <v>325</v>
      </c>
      <c r="H126">
        <f>H127*0.3</f>
        <v>734.1</v>
      </c>
      <c r="I126" s="71"/>
    </row>
    <row r="127" spans="3:9">
      <c r="C127" t="s">
        <v>326</v>
      </c>
      <c r="H127" s="71">
        <v>2447</v>
      </c>
    </row>
  </sheetData>
  <mergeCells count="89">
    <mergeCell ref="A91:C91"/>
    <mergeCell ref="A92:C92"/>
    <mergeCell ref="A86:C86"/>
    <mergeCell ref="A87:C87"/>
    <mergeCell ref="A88:C88"/>
    <mergeCell ref="A89:C89"/>
    <mergeCell ref="A90:C90"/>
    <mergeCell ref="A81:C81"/>
    <mergeCell ref="A82:C82"/>
    <mergeCell ref="A83:C83"/>
    <mergeCell ref="A84:C84"/>
    <mergeCell ref="A85:C85"/>
    <mergeCell ref="A77:A79"/>
    <mergeCell ref="B77:C77"/>
    <mergeCell ref="B78:C78"/>
    <mergeCell ref="B79:C79"/>
    <mergeCell ref="A80:C80"/>
    <mergeCell ref="A72:C72"/>
    <mergeCell ref="A73:C73"/>
    <mergeCell ref="A74:C74"/>
    <mergeCell ref="A75:C75"/>
    <mergeCell ref="A76:C76"/>
    <mergeCell ref="A68:A69"/>
    <mergeCell ref="B68:C68"/>
    <mergeCell ref="B69:C69"/>
    <mergeCell ref="A70:C70"/>
    <mergeCell ref="A71:C71"/>
    <mergeCell ref="A63:C63"/>
    <mergeCell ref="A64:C64"/>
    <mergeCell ref="A65:C65"/>
    <mergeCell ref="A66:C66"/>
    <mergeCell ref="A67:C67"/>
    <mergeCell ref="A59:C59"/>
    <mergeCell ref="A60:A61"/>
    <mergeCell ref="B60:C60"/>
    <mergeCell ref="B61:C61"/>
    <mergeCell ref="A62:C62"/>
    <mergeCell ref="B53:C53"/>
    <mergeCell ref="A54:C54"/>
    <mergeCell ref="A55:A58"/>
    <mergeCell ref="B55:C55"/>
    <mergeCell ref="B56:C56"/>
    <mergeCell ref="B57:C57"/>
    <mergeCell ref="B58:C58"/>
    <mergeCell ref="A48:C48"/>
    <mergeCell ref="A49:C49"/>
    <mergeCell ref="A50:C50"/>
    <mergeCell ref="A51:C51"/>
    <mergeCell ref="A52:C52"/>
    <mergeCell ref="A43:D43"/>
    <mergeCell ref="A44:D44"/>
    <mergeCell ref="A45:C45"/>
    <mergeCell ref="A46:C46"/>
    <mergeCell ref="A47:C47"/>
    <mergeCell ref="A37:A40"/>
    <mergeCell ref="B37:C37"/>
    <mergeCell ref="B38:C38"/>
    <mergeCell ref="B39:B40"/>
    <mergeCell ref="A42:D42"/>
    <mergeCell ref="A32:C32"/>
    <mergeCell ref="A33:C33"/>
    <mergeCell ref="A34:C34"/>
    <mergeCell ref="A35:C35"/>
    <mergeCell ref="A36:C36"/>
    <mergeCell ref="A22:C22"/>
    <mergeCell ref="A23:A31"/>
    <mergeCell ref="B23:C23"/>
    <mergeCell ref="B24:C24"/>
    <mergeCell ref="B25:C25"/>
    <mergeCell ref="B26:C26"/>
    <mergeCell ref="B28:C28"/>
    <mergeCell ref="B29:C29"/>
    <mergeCell ref="B30:C30"/>
    <mergeCell ref="A14:C14"/>
    <mergeCell ref="A15:A21"/>
    <mergeCell ref="B15:C15"/>
    <mergeCell ref="B17:C17"/>
    <mergeCell ref="B18:C18"/>
    <mergeCell ref="B20:C20"/>
    <mergeCell ref="A8:D8"/>
    <mergeCell ref="A10:D10"/>
    <mergeCell ref="A11:D11"/>
    <mergeCell ref="A12:C12"/>
    <mergeCell ref="A13:C13"/>
    <mergeCell ref="A1:C1"/>
    <mergeCell ref="A2:C2"/>
    <mergeCell ref="A4:E4"/>
    <mergeCell ref="A5:E5"/>
    <mergeCell ref="A6:E6"/>
  </mergeCells>
  <pageMargins left="0.31527777777777799" right="0.31527777777777799" top="0.35416666666666702" bottom="0.35416666666666702" header="0.51180555555555496" footer="0.51180555555555496"/>
  <pageSetup paperSize="9" scale="80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1:G72"/>
  <sheetViews>
    <sheetView topLeftCell="A58" zoomScaleNormal="100" workbookViewId="0">
      <selection activeCell="F54" sqref="F54"/>
    </sheetView>
  </sheetViews>
  <sheetFormatPr defaultRowHeight="12.75"/>
  <cols>
    <col min="1" max="1" width="8.7109375" customWidth="1"/>
    <col min="2" max="2" width="10.42578125" customWidth="1"/>
    <col min="3" max="3" width="64.85546875" customWidth="1"/>
    <col min="4" max="4" width="14" customWidth="1"/>
    <col min="5" max="5" width="17.140625" style="158" customWidth="1"/>
    <col min="6" max="6" width="17.85546875" style="158" customWidth="1"/>
    <col min="7" max="1017" width="8.7109375" customWidth="1"/>
  </cols>
  <sheetData>
    <row r="1" spans="1:6" ht="12.75" customHeight="1">
      <c r="A1" s="356"/>
      <c r="B1" s="356"/>
      <c r="C1" s="356"/>
      <c r="D1" s="95"/>
    </row>
    <row r="2" spans="1:6" ht="12.75" customHeight="1">
      <c r="A2" s="357" t="s">
        <v>327</v>
      </c>
      <c r="B2" s="357"/>
      <c r="C2" s="357"/>
      <c r="D2" s="95"/>
    </row>
    <row r="3" spans="1:6" ht="18" customHeight="1">
      <c r="A3" s="358" t="s">
        <v>81</v>
      </c>
      <c r="B3" s="358"/>
      <c r="C3" s="358"/>
      <c r="D3" s="358"/>
    </row>
    <row r="4" spans="1:6" ht="12.75" customHeight="1">
      <c r="A4" s="359" t="s">
        <v>147</v>
      </c>
      <c r="B4" s="359"/>
      <c r="C4" s="359"/>
      <c r="D4" s="359"/>
    </row>
    <row r="5" spans="1:6" ht="20.25" customHeight="1">
      <c r="A5" s="360" t="s">
        <v>467</v>
      </c>
      <c r="B5" s="360"/>
      <c r="C5" s="360"/>
      <c r="D5" s="360"/>
    </row>
    <row r="6" spans="1:6" ht="18.75">
      <c r="A6" s="66"/>
      <c r="B6" s="66"/>
      <c r="C6" s="66"/>
      <c r="D6" s="66"/>
    </row>
    <row r="7" spans="1:6" ht="15.75">
      <c r="A7" s="361" t="s">
        <v>425</v>
      </c>
      <c r="B7" s="361"/>
      <c r="C7" s="361"/>
      <c r="D7" s="361"/>
    </row>
    <row r="8" spans="1:6" ht="16.5" thickBot="1">
      <c r="A8" s="96" t="s">
        <v>148</v>
      </c>
      <c r="B8" s="68"/>
      <c r="C8" s="68"/>
      <c r="D8" s="95"/>
    </row>
    <row r="9" spans="1:6" ht="46.5" customHeight="1" thickBot="1">
      <c r="A9" s="362" t="s">
        <v>149</v>
      </c>
      <c r="B9" s="363"/>
      <c r="C9" s="363"/>
      <c r="D9" s="363"/>
      <c r="E9" s="294" t="s">
        <v>463</v>
      </c>
      <c r="F9" s="295" t="s">
        <v>464</v>
      </c>
    </row>
    <row r="10" spans="1:6" ht="15">
      <c r="A10" s="364">
        <v>1</v>
      </c>
      <c r="B10" s="365"/>
      <c r="C10" s="365"/>
      <c r="D10" s="366"/>
      <c r="E10" s="292">
        <v>3</v>
      </c>
      <c r="F10" s="292">
        <v>3</v>
      </c>
    </row>
    <row r="11" spans="1:6" ht="18.75" customHeight="1">
      <c r="A11" s="367" t="s">
        <v>426</v>
      </c>
      <c r="B11" s="368"/>
      <c r="C11" s="369"/>
      <c r="D11" s="160" t="s">
        <v>6</v>
      </c>
      <c r="E11" s="240">
        <f>E12+E28</f>
        <v>178275.8</v>
      </c>
      <c r="F11" s="240">
        <f>F12+F28</f>
        <v>180346.9</v>
      </c>
    </row>
    <row r="12" spans="1:6" ht="28.5" customHeight="1">
      <c r="A12" s="370" t="s">
        <v>466</v>
      </c>
      <c r="B12" s="371"/>
      <c r="C12" s="372"/>
      <c r="D12" s="160" t="s">
        <v>10</v>
      </c>
      <c r="E12" s="241">
        <f>E13+E24+E23+E22+E20+E19+E18+E16+E15+E14+E26+E27</f>
        <v>171845</v>
      </c>
      <c r="F12" s="241">
        <f>F13+F24+F23+F22+F20+F19+F18+F16+F15+F14+F26+F27</f>
        <v>173586.9</v>
      </c>
    </row>
    <row r="13" spans="1:6" ht="18" customHeight="1">
      <c r="A13" s="373" t="s">
        <v>150</v>
      </c>
      <c r="B13" s="374"/>
      <c r="C13" s="375"/>
      <c r="D13" s="160" t="s">
        <v>12</v>
      </c>
      <c r="E13" s="241">
        <v>126071.5</v>
      </c>
      <c r="F13" s="241">
        <v>129599.8</v>
      </c>
    </row>
    <row r="14" spans="1:6" ht="18" customHeight="1">
      <c r="A14" s="376" t="s">
        <v>151</v>
      </c>
      <c r="B14" s="377"/>
      <c r="C14" s="377"/>
      <c r="D14" s="161" t="s">
        <v>14</v>
      </c>
      <c r="E14" s="189">
        <v>1390.2</v>
      </c>
      <c r="F14" s="189">
        <v>1390.2</v>
      </c>
    </row>
    <row r="15" spans="1:6" ht="18" customHeight="1">
      <c r="A15" s="376" t="s">
        <v>152</v>
      </c>
      <c r="B15" s="377"/>
      <c r="C15" s="377"/>
      <c r="D15" s="161" t="s">
        <v>17</v>
      </c>
      <c r="E15" s="241">
        <v>0</v>
      </c>
      <c r="F15" s="241">
        <v>0</v>
      </c>
    </row>
    <row r="16" spans="1:6" ht="17.45" customHeight="1">
      <c r="A16" s="376" t="s">
        <v>153</v>
      </c>
      <c r="B16" s="377"/>
      <c r="C16" s="377"/>
      <c r="D16" s="161" t="s">
        <v>19</v>
      </c>
      <c r="E16" s="241">
        <v>10100</v>
      </c>
      <c r="F16" s="241">
        <v>10100</v>
      </c>
    </row>
    <row r="17" spans="1:6" ht="18" customHeight="1">
      <c r="A17" s="378" t="s">
        <v>154</v>
      </c>
      <c r="B17" s="379"/>
      <c r="C17" s="379"/>
      <c r="D17" s="161" t="s">
        <v>21</v>
      </c>
      <c r="E17" s="241">
        <v>7800</v>
      </c>
      <c r="F17" s="241">
        <v>7800</v>
      </c>
    </row>
    <row r="18" spans="1:6" ht="18" customHeight="1">
      <c r="A18" s="376" t="s">
        <v>155</v>
      </c>
      <c r="B18" s="377"/>
      <c r="C18" s="377"/>
      <c r="D18" s="160" t="s">
        <v>24</v>
      </c>
      <c r="E18" s="241">
        <v>2357.8000000000002</v>
      </c>
      <c r="F18" s="241">
        <v>2483.4</v>
      </c>
    </row>
    <row r="19" spans="1:6" ht="18" customHeight="1">
      <c r="A19" s="376" t="s">
        <v>156</v>
      </c>
      <c r="B19" s="377"/>
      <c r="C19" s="377"/>
      <c r="D19" s="160" t="s">
        <v>27</v>
      </c>
      <c r="E19" s="241">
        <v>4472.5</v>
      </c>
      <c r="F19" s="241">
        <v>5956.7</v>
      </c>
    </row>
    <row r="20" spans="1:6" ht="33" customHeight="1">
      <c r="A20" s="376" t="s">
        <v>157</v>
      </c>
      <c r="B20" s="377"/>
      <c r="C20" s="377"/>
      <c r="D20" s="160" t="s">
        <v>103</v>
      </c>
      <c r="E20" s="241">
        <v>12869.1</v>
      </c>
      <c r="F20" s="241">
        <v>9064.4</v>
      </c>
    </row>
    <row r="21" spans="1:6" ht="18" customHeight="1">
      <c r="A21" s="378" t="s">
        <v>158</v>
      </c>
      <c r="B21" s="379"/>
      <c r="C21" s="379"/>
      <c r="D21" s="161" t="s">
        <v>105</v>
      </c>
      <c r="E21" s="241">
        <v>5002.2</v>
      </c>
      <c r="F21" s="241">
        <v>2696.7</v>
      </c>
    </row>
    <row r="22" spans="1:6" ht="18" customHeight="1">
      <c r="A22" s="376" t="s">
        <v>159</v>
      </c>
      <c r="B22" s="377"/>
      <c r="C22" s="377"/>
      <c r="D22" s="161" t="s">
        <v>107</v>
      </c>
      <c r="E22" s="241">
        <v>678.8</v>
      </c>
      <c r="F22" s="241">
        <v>416.5</v>
      </c>
    </row>
    <row r="23" spans="1:6" ht="33" customHeight="1">
      <c r="A23" s="376" t="s">
        <v>160</v>
      </c>
      <c r="B23" s="377"/>
      <c r="C23" s="377"/>
      <c r="D23" s="161" t="s">
        <v>109</v>
      </c>
      <c r="E23" s="241">
        <v>5305.1</v>
      </c>
      <c r="F23" s="241">
        <v>5975.9</v>
      </c>
    </row>
    <row r="24" spans="1:6" ht="18" customHeight="1">
      <c r="A24" s="376" t="s">
        <v>161</v>
      </c>
      <c r="B24" s="377"/>
      <c r="C24" s="377"/>
      <c r="D24" s="161" t="s">
        <v>111</v>
      </c>
      <c r="E24" s="241">
        <v>8500</v>
      </c>
      <c r="F24" s="241">
        <v>8500</v>
      </c>
    </row>
    <row r="25" spans="1:6" ht="18" customHeight="1">
      <c r="A25" s="378" t="s">
        <v>162</v>
      </c>
      <c r="B25" s="379"/>
      <c r="C25" s="379"/>
      <c r="D25" s="161" t="s">
        <v>113</v>
      </c>
      <c r="E25" s="241">
        <v>1300</v>
      </c>
      <c r="F25" s="241">
        <v>1300</v>
      </c>
    </row>
    <row r="26" spans="1:6" ht="18" customHeight="1">
      <c r="A26" s="380" t="s">
        <v>163</v>
      </c>
      <c r="B26" s="381"/>
      <c r="C26" s="382"/>
      <c r="D26" s="161" t="s">
        <v>115</v>
      </c>
      <c r="E26" s="241">
        <v>0</v>
      </c>
      <c r="F26" s="241">
        <v>0</v>
      </c>
    </row>
    <row r="27" spans="1:6" ht="18" customHeight="1">
      <c r="A27" s="380" t="s">
        <v>164</v>
      </c>
      <c r="B27" s="381"/>
      <c r="C27" s="382"/>
      <c r="D27" s="161" t="s">
        <v>116</v>
      </c>
      <c r="E27" s="241">
        <v>100</v>
      </c>
      <c r="F27" s="241">
        <v>100</v>
      </c>
    </row>
    <row r="28" spans="1:6" ht="18" customHeight="1">
      <c r="A28" s="383" t="s">
        <v>427</v>
      </c>
      <c r="B28" s="384"/>
      <c r="C28" s="385"/>
      <c r="D28" s="161" t="s">
        <v>117</v>
      </c>
      <c r="E28" s="242">
        <f>E29+E30</f>
        <v>6430.8</v>
      </c>
      <c r="F28" s="242">
        <f>F29+F30</f>
        <v>6760</v>
      </c>
    </row>
    <row r="29" spans="1:6" ht="18" customHeight="1">
      <c r="A29" s="386" t="s">
        <v>330</v>
      </c>
      <c r="B29" s="387"/>
      <c r="C29" s="388"/>
      <c r="D29" s="161" t="s">
        <v>119</v>
      </c>
      <c r="E29" s="241">
        <v>10</v>
      </c>
      <c r="F29" s="241">
        <v>10</v>
      </c>
    </row>
    <row r="30" spans="1:6" ht="18" customHeight="1">
      <c r="A30" s="389" t="s">
        <v>331</v>
      </c>
      <c r="B30" s="390"/>
      <c r="C30" s="391"/>
      <c r="D30" s="161" t="s">
        <v>120</v>
      </c>
      <c r="E30" s="243">
        <f>E31+E32</f>
        <v>6420.8</v>
      </c>
      <c r="F30" s="243">
        <f>F31+F32</f>
        <v>6750</v>
      </c>
    </row>
    <row r="31" spans="1:6" ht="18" customHeight="1">
      <c r="A31" s="392" t="s">
        <v>8</v>
      </c>
      <c r="B31" s="377" t="s">
        <v>332</v>
      </c>
      <c r="C31" s="377"/>
      <c r="D31" s="161" t="s">
        <v>121</v>
      </c>
      <c r="E31" s="241"/>
      <c r="F31" s="241"/>
    </row>
    <row r="32" spans="1:6" ht="18" customHeight="1">
      <c r="A32" s="392"/>
      <c r="B32" s="377" t="s">
        <v>333</v>
      </c>
      <c r="C32" s="377"/>
      <c r="D32" s="162" t="s">
        <v>123</v>
      </c>
      <c r="E32" s="244">
        <f>E33+500</f>
        <v>6420.8</v>
      </c>
      <c r="F32" s="244">
        <f>F33+500+750</f>
        <v>6750</v>
      </c>
    </row>
    <row r="33" spans="1:7" ht="46.5" customHeight="1" thickBot="1">
      <c r="A33" s="393"/>
      <c r="B33" s="394" t="s">
        <v>334</v>
      </c>
      <c r="C33" s="395"/>
      <c r="D33" s="163">
        <v>23</v>
      </c>
      <c r="E33" s="245">
        <v>5920.8</v>
      </c>
      <c r="F33" s="245">
        <v>5500</v>
      </c>
    </row>
    <row r="34" spans="1:7" ht="15.75">
      <c r="A34" s="396"/>
      <c r="B34" s="396"/>
      <c r="C34" s="396"/>
      <c r="D34" s="164"/>
    </row>
    <row r="35" spans="1:7" ht="15.75" customHeight="1">
      <c r="A35" s="396" t="s">
        <v>428</v>
      </c>
      <c r="B35" s="396"/>
      <c r="C35" s="396"/>
      <c r="D35" s="396"/>
    </row>
    <row r="36" spans="1:7" ht="16.5" thickBot="1">
      <c r="A36" s="165"/>
      <c r="B36" s="165"/>
      <c r="C36" s="165"/>
      <c r="D36" s="165"/>
    </row>
    <row r="37" spans="1:7" ht="51.75" customHeight="1" thickBot="1">
      <c r="A37" s="362" t="s">
        <v>149</v>
      </c>
      <c r="B37" s="363"/>
      <c r="C37" s="363"/>
      <c r="D37" s="397"/>
      <c r="E37" s="294" t="s">
        <v>463</v>
      </c>
      <c r="F37" s="295" t="s">
        <v>464</v>
      </c>
    </row>
    <row r="38" spans="1:7" ht="15">
      <c r="A38" s="364">
        <v>1</v>
      </c>
      <c r="B38" s="365"/>
      <c r="C38" s="365"/>
      <c r="D38" s="366"/>
      <c r="E38" s="292">
        <v>3</v>
      </c>
      <c r="F38" s="293">
        <v>3</v>
      </c>
    </row>
    <row r="39" spans="1:7" ht="18.75" customHeight="1">
      <c r="A39" s="398" t="s">
        <v>429</v>
      </c>
      <c r="B39" s="399"/>
      <c r="C39" s="400"/>
      <c r="D39" s="275">
        <f>D33+1</f>
        <v>24</v>
      </c>
      <c r="E39" s="276">
        <f>E40+E59</f>
        <v>180182.9</v>
      </c>
      <c r="F39" s="246">
        <f>F40+F59</f>
        <v>184214.2</v>
      </c>
    </row>
    <row r="40" spans="1:7" ht="18" customHeight="1">
      <c r="A40" s="401" t="s">
        <v>430</v>
      </c>
      <c r="B40" s="402"/>
      <c r="C40" s="403"/>
      <c r="D40" s="275">
        <f>D39+1</f>
        <v>25</v>
      </c>
      <c r="E40" s="277">
        <f>E56</f>
        <v>178447.1</v>
      </c>
      <c r="F40" s="247">
        <f>F56</f>
        <v>182478.40000000002</v>
      </c>
    </row>
    <row r="41" spans="1:7" ht="18" customHeight="1">
      <c r="A41" s="404" t="s">
        <v>165</v>
      </c>
      <c r="B41" s="405"/>
      <c r="C41" s="406"/>
      <c r="D41" s="167">
        <f t="shared" ref="D41:D72" si="0">D40+1</f>
        <v>26</v>
      </c>
      <c r="E41" s="277">
        <v>7083.8</v>
      </c>
      <c r="F41" s="247">
        <v>6700</v>
      </c>
      <c r="G41" s="49"/>
    </row>
    <row r="42" spans="1:7" ht="18" customHeight="1">
      <c r="A42" s="404" t="s">
        <v>166</v>
      </c>
      <c r="B42" s="405"/>
      <c r="C42" s="406"/>
      <c r="D42" s="167">
        <f t="shared" si="0"/>
        <v>27</v>
      </c>
      <c r="E42" s="277">
        <v>14602.8</v>
      </c>
      <c r="F42" s="247">
        <v>14602.8</v>
      </c>
    </row>
    <row r="43" spans="1:7" ht="18" customHeight="1">
      <c r="A43" s="404" t="s">
        <v>167</v>
      </c>
      <c r="B43" s="405"/>
      <c r="C43" s="406"/>
      <c r="D43" s="167">
        <f t="shared" si="0"/>
        <v>28</v>
      </c>
      <c r="E43" s="277">
        <v>12535</v>
      </c>
      <c r="F43" s="247">
        <v>12500</v>
      </c>
    </row>
    <row r="44" spans="1:7" ht="18" customHeight="1">
      <c r="A44" s="404" t="s">
        <v>168</v>
      </c>
      <c r="B44" s="405"/>
      <c r="C44" s="406"/>
      <c r="D44" s="167">
        <f t="shared" si="0"/>
        <v>29</v>
      </c>
      <c r="E44" s="277">
        <v>110</v>
      </c>
      <c r="F44" s="247">
        <v>110</v>
      </c>
    </row>
    <row r="45" spans="1:7" ht="18" customHeight="1">
      <c r="A45" s="404" t="s">
        <v>169</v>
      </c>
      <c r="B45" s="405"/>
      <c r="C45" s="406"/>
      <c r="D45" s="167">
        <f t="shared" si="0"/>
        <v>30</v>
      </c>
      <c r="E45" s="277">
        <v>105315.5</v>
      </c>
      <c r="F45" s="247">
        <v>106465.60000000001</v>
      </c>
    </row>
    <row r="46" spans="1:7" ht="18" customHeight="1">
      <c r="A46" s="407" t="s">
        <v>126</v>
      </c>
      <c r="B46" s="408"/>
      <c r="C46" s="409"/>
      <c r="D46" s="167">
        <f t="shared" si="0"/>
        <v>31</v>
      </c>
      <c r="E46" s="277">
        <v>102350.39999999999</v>
      </c>
      <c r="F46" s="247">
        <v>103400.5</v>
      </c>
    </row>
    <row r="47" spans="1:7" ht="18" customHeight="1">
      <c r="A47" s="404" t="s">
        <v>170</v>
      </c>
      <c r="B47" s="405"/>
      <c r="C47" s="406"/>
      <c r="D47" s="167">
        <f t="shared" si="0"/>
        <v>32</v>
      </c>
      <c r="E47" s="277">
        <v>33000</v>
      </c>
      <c r="F47" s="247">
        <v>32000</v>
      </c>
    </row>
    <row r="48" spans="1:7" ht="18" customHeight="1">
      <c r="A48" s="410" t="s">
        <v>15</v>
      </c>
      <c r="B48" s="405" t="s">
        <v>171</v>
      </c>
      <c r="C48" s="406"/>
      <c r="D48" s="167">
        <f t="shared" si="0"/>
        <v>33</v>
      </c>
      <c r="E48" s="277">
        <v>20000</v>
      </c>
      <c r="F48" s="247">
        <v>20000</v>
      </c>
    </row>
    <row r="49" spans="1:6" ht="47.25" customHeight="1">
      <c r="A49" s="411"/>
      <c r="B49" s="278" t="s">
        <v>172</v>
      </c>
      <c r="C49" s="279" t="s">
        <v>44</v>
      </c>
      <c r="D49" s="167">
        <f t="shared" si="0"/>
        <v>34</v>
      </c>
      <c r="E49" s="277">
        <v>618.79999999999995</v>
      </c>
      <c r="F49" s="247">
        <v>618.79999999999995</v>
      </c>
    </row>
    <row r="50" spans="1:6" ht="18" customHeight="1">
      <c r="A50" s="411"/>
      <c r="B50" s="412" t="s">
        <v>173</v>
      </c>
      <c r="C50" s="406"/>
      <c r="D50" s="167">
        <f t="shared" si="0"/>
        <v>35</v>
      </c>
      <c r="E50" s="277">
        <v>4098.6000000000004</v>
      </c>
      <c r="F50" s="247">
        <f>E50</f>
        <v>4098.6000000000004</v>
      </c>
    </row>
    <row r="51" spans="1:6" ht="18" customHeight="1">
      <c r="A51" s="411"/>
      <c r="B51" s="412" t="s">
        <v>174</v>
      </c>
      <c r="C51" s="406"/>
      <c r="D51" s="167">
        <f t="shared" si="0"/>
        <v>36</v>
      </c>
      <c r="E51" s="277">
        <v>0</v>
      </c>
      <c r="F51" s="247">
        <v>0</v>
      </c>
    </row>
    <row r="52" spans="1:6" ht="18" customHeight="1">
      <c r="A52" s="411"/>
      <c r="B52" s="412" t="s">
        <v>175</v>
      </c>
      <c r="C52" s="406"/>
      <c r="D52" s="167">
        <f t="shared" si="0"/>
        <v>37</v>
      </c>
      <c r="E52" s="277">
        <v>3600</v>
      </c>
      <c r="F52" s="247">
        <v>3600</v>
      </c>
    </row>
    <row r="53" spans="1:6" ht="18" customHeight="1">
      <c r="A53" s="404" t="s">
        <v>176</v>
      </c>
      <c r="B53" s="405"/>
      <c r="C53" s="406"/>
      <c r="D53" s="167">
        <f t="shared" si="0"/>
        <v>38</v>
      </c>
      <c r="E53" s="277">
        <v>5800</v>
      </c>
      <c r="F53" s="247">
        <v>10100</v>
      </c>
    </row>
    <row r="54" spans="1:6" ht="18" customHeight="1">
      <c r="A54" s="404" t="s">
        <v>177</v>
      </c>
      <c r="B54" s="405"/>
      <c r="C54" s="406"/>
      <c r="D54" s="167">
        <f t="shared" si="0"/>
        <v>39</v>
      </c>
      <c r="E54" s="277">
        <f>E41+E42+E43+E44+E45+E47+E53</f>
        <v>178447.1</v>
      </c>
      <c r="F54" s="247">
        <f>F41+F42+F43+F44+F45+F47+F53</f>
        <v>182478.40000000002</v>
      </c>
    </row>
    <row r="55" spans="1:6" ht="30.75" customHeight="1">
      <c r="A55" s="413" t="s">
        <v>335</v>
      </c>
      <c r="B55" s="414"/>
      <c r="C55" s="414"/>
      <c r="D55" s="280">
        <f t="shared" si="0"/>
        <v>40</v>
      </c>
      <c r="E55" s="281">
        <v>0</v>
      </c>
      <c r="F55" s="282">
        <v>0</v>
      </c>
    </row>
    <row r="56" spans="1:6" ht="18" customHeight="1">
      <c r="A56" s="415" t="s">
        <v>336</v>
      </c>
      <c r="B56" s="416"/>
      <c r="C56" s="417"/>
      <c r="D56" s="283">
        <f t="shared" si="0"/>
        <v>41</v>
      </c>
      <c r="E56" s="284">
        <f>E54+E55</f>
        <v>178447.1</v>
      </c>
      <c r="F56" s="285">
        <f>F54+F55</f>
        <v>182478.40000000002</v>
      </c>
    </row>
    <row r="57" spans="1:6" ht="18" customHeight="1">
      <c r="A57" s="418" t="s">
        <v>15</v>
      </c>
      <c r="B57" s="420" t="s">
        <v>122</v>
      </c>
      <c r="C57" s="421"/>
      <c r="D57" s="283">
        <f t="shared" si="0"/>
        <v>42</v>
      </c>
      <c r="E57" s="284">
        <v>1300</v>
      </c>
      <c r="F57" s="285">
        <v>1300</v>
      </c>
    </row>
    <row r="58" spans="1:6" ht="18" customHeight="1">
      <c r="A58" s="419"/>
      <c r="B58" s="421" t="s">
        <v>337</v>
      </c>
      <c r="C58" s="422"/>
      <c r="D58" s="283">
        <f t="shared" si="0"/>
        <v>43</v>
      </c>
      <c r="E58" s="284">
        <v>0</v>
      </c>
      <c r="F58" s="285">
        <v>0</v>
      </c>
    </row>
    <row r="59" spans="1:6" ht="18" customHeight="1">
      <c r="A59" s="423" t="s">
        <v>431</v>
      </c>
      <c r="B59" s="424"/>
      <c r="C59" s="425"/>
      <c r="D59" s="283">
        <f t="shared" si="0"/>
        <v>44</v>
      </c>
      <c r="E59" s="286">
        <f>E60+E61</f>
        <v>1735.8</v>
      </c>
      <c r="F59" s="287">
        <f>F60+F61</f>
        <v>1735.8</v>
      </c>
    </row>
    <row r="60" spans="1:6" ht="18" customHeight="1">
      <c r="A60" s="426" t="s">
        <v>338</v>
      </c>
      <c r="B60" s="427"/>
      <c r="C60" s="428"/>
      <c r="D60" s="283">
        <f t="shared" si="0"/>
        <v>45</v>
      </c>
      <c r="E60" s="284">
        <v>0</v>
      </c>
      <c r="F60" s="285">
        <v>0</v>
      </c>
    </row>
    <row r="61" spans="1:6" ht="18" customHeight="1">
      <c r="A61" s="426" t="s">
        <v>339</v>
      </c>
      <c r="B61" s="427"/>
      <c r="C61" s="428"/>
      <c r="D61" s="283">
        <f t="shared" si="0"/>
        <v>46</v>
      </c>
      <c r="E61" s="288">
        <v>1735.8</v>
      </c>
      <c r="F61" s="285">
        <v>1735.8</v>
      </c>
    </row>
    <row r="62" spans="1:6" ht="18" customHeight="1">
      <c r="A62" s="429" t="s">
        <v>8</v>
      </c>
      <c r="B62" s="422" t="s">
        <v>340</v>
      </c>
      <c r="C62" s="422"/>
      <c r="D62" s="283">
        <f t="shared" si="0"/>
        <v>47</v>
      </c>
      <c r="E62" s="284">
        <v>1285.8</v>
      </c>
      <c r="F62" s="285">
        <v>1285.8</v>
      </c>
    </row>
    <row r="63" spans="1:6" ht="18" customHeight="1">
      <c r="A63" s="429"/>
      <c r="B63" s="422" t="s">
        <v>272</v>
      </c>
      <c r="C63" s="422"/>
      <c r="D63" s="283">
        <f t="shared" si="0"/>
        <v>48</v>
      </c>
      <c r="E63" s="284">
        <v>450</v>
      </c>
      <c r="F63" s="285">
        <v>450</v>
      </c>
    </row>
    <row r="64" spans="1:6" ht="18.75" customHeight="1">
      <c r="A64" s="430" t="s">
        <v>432</v>
      </c>
      <c r="B64" s="431"/>
      <c r="C64" s="432"/>
      <c r="D64" s="283">
        <f t="shared" si="0"/>
        <v>49</v>
      </c>
      <c r="E64" s="289">
        <f>E11-E39</f>
        <v>-1907.1000000000058</v>
      </c>
      <c r="F64" s="290">
        <f>F11-F39</f>
        <v>-3867.3000000000175</v>
      </c>
    </row>
    <row r="65" spans="1:6" ht="18.75" customHeight="1">
      <c r="A65" s="430" t="s">
        <v>278</v>
      </c>
      <c r="B65" s="431"/>
      <c r="C65" s="432"/>
      <c r="D65" s="283">
        <f t="shared" si="0"/>
        <v>50</v>
      </c>
      <c r="E65" s="284">
        <v>200</v>
      </c>
      <c r="F65" s="285">
        <v>250</v>
      </c>
    </row>
    <row r="66" spans="1:6" ht="18" customHeight="1">
      <c r="A66" s="439" t="s">
        <v>341</v>
      </c>
      <c r="B66" s="440"/>
      <c r="C66" s="441"/>
      <c r="D66" s="283">
        <f t="shared" si="0"/>
        <v>51</v>
      </c>
      <c r="E66" s="284">
        <v>150</v>
      </c>
      <c r="F66" s="285">
        <v>200</v>
      </c>
    </row>
    <row r="67" spans="1:6" ht="18.75" customHeight="1">
      <c r="A67" s="430" t="s">
        <v>282</v>
      </c>
      <c r="B67" s="431"/>
      <c r="C67" s="432"/>
      <c r="D67" s="283">
        <f t="shared" si="0"/>
        <v>52</v>
      </c>
      <c r="E67" s="284">
        <v>150</v>
      </c>
      <c r="F67" s="285">
        <v>150</v>
      </c>
    </row>
    <row r="68" spans="1:6" ht="18" customHeight="1">
      <c r="A68" s="439" t="s">
        <v>284</v>
      </c>
      <c r="B68" s="440"/>
      <c r="C68" s="441"/>
      <c r="D68" s="283">
        <f t="shared" si="0"/>
        <v>53</v>
      </c>
      <c r="E68" s="284">
        <v>0</v>
      </c>
      <c r="F68" s="285">
        <v>0</v>
      </c>
    </row>
    <row r="69" spans="1:6" ht="18.75" customHeight="1">
      <c r="A69" s="430" t="s">
        <v>433</v>
      </c>
      <c r="B69" s="431"/>
      <c r="C69" s="432"/>
      <c r="D69" s="283">
        <f t="shared" si="0"/>
        <v>54</v>
      </c>
      <c r="E69" s="289">
        <f>E64+E65-E67</f>
        <v>-1857.1000000000058</v>
      </c>
      <c r="F69" s="290">
        <f>F64+F65-F67</f>
        <v>-3767.3000000000175</v>
      </c>
    </row>
    <row r="70" spans="1:6" ht="18.75" customHeight="1">
      <c r="A70" s="433" t="s">
        <v>178</v>
      </c>
      <c r="B70" s="434"/>
      <c r="C70" s="435"/>
      <c r="D70" s="283">
        <f t="shared" si="0"/>
        <v>55</v>
      </c>
      <c r="E70" s="284">
        <v>0</v>
      </c>
      <c r="F70" s="285">
        <v>0</v>
      </c>
    </row>
    <row r="71" spans="1:6" ht="18.75" customHeight="1">
      <c r="A71" s="433" t="s">
        <v>179</v>
      </c>
      <c r="B71" s="434"/>
      <c r="C71" s="435"/>
      <c r="D71" s="283">
        <f t="shared" si="0"/>
        <v>56</v>
      </c>
      <c r="E71" s="284">
        <v>0</v>
      </c>
      <c r="F71" s="285">
        <v>0</v>
      </c>
    </row>
    <row r="72" spans="1:6" ht="19.5" customHeight="1" thickBot="1">
      <c r="A72" s="436" t="s">
        <v>434</v>
      </c>
      <c r="B72" s="437"/>
      <c r="C72" s="438"/>
      <c r="D72" s="175">
        <f t="shared" si="0"/>
        <v>57</v>
      </c>
      <c r="E72" s="291">
        <f>E69-E70-E71</f>
        <v>-1857.1000000000058</v>
      </c>
      <c r="F72" s="248">
        <f>F69-F70-F71</f>
        <v>-3767.3000000000175</v>
      </c>
    </row>
  </sheetData>
  <mergeCells count="72">
    <mergeCell ref="A69:C69"/>
    <mergeCell ref="A70:C70"/>
    <mergeCell ref="A71:C71"/>
    <mergeCell ref="A72:C72"/>
    <mergeCell ref="A64:C64"/>
    <mergeCell ref="A65:C65"/>
    <mergeCell ref="A66:C66"/>
    <mergeCell ref="A67:C67"/>
    <mergeCell ref="A68:C68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5:C45"/>
    <mergeCell ref="A46:C46"/>
    <mergeCell ref="A47:C47"/>
    <mergeCell ref="A48:A52"/>
    <mergeCell ref="B48:C48"/>
    <mergeCell ref="B50:C50"/>
    <mergeCell ref="B51:C51"/>
    <mergeCell ref="B52:C52"/>
    <mergeCell ref="A40:C40"/>
    <mergeCell ref="A41:C41"/>
    <mergeCell ref="A42:C42"/>
    <mergeCell ref="A43:C43"/>
    <mergeCell ref="A44:C44"/>
    <mergeCell ref="A34:C34"/>
    <mergeCell ref="A35:D35"/>
    <mergeCell ref="A37:D37"/>
    <mergeCell ref="A38:D38"/>
    <mergeCell ref="A39:C39"/>
    <mergeCell ref="A28:C28"/>
    <mergeCell ref="A29:C29"/>
    <mergeCell ref="A30:C30"/>
    <mergeCell ref="A31:A33"/>
    <mergeCell ref="B31:C31"/>
    <mergeCell ref="B32:C32"/>
    <mergeCell ref="B33:C33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7:D7"/>
    <mergeCell ref="A9:D9"/>
    <mergeCell ref="A10:D10"/>
    <mergeCell ref="A11:C11"/>
    <mergeCell ref="A12:C12"/>
    <mergeCell ref="A1:C1"/>
    <mergeCell ref="A2:C2"/>
    <mergeCell ref="A3:D3"/>
    <mergeCell ref="A4:D4"/>
    <mergeCell ref="A5:D5"/>
  </mergeCells>
  <conditionalFormatting sqref="E33">
    <cfRule type="cellIs" dxfId="11" priority="31" operator="greaterThan">
      <formula>#REF!</formula>
    </cfRule>
  </conditionalFormatting>
  <conditionalFormatting sqref="F33">
    <cfRule type="cellIs" dxfId="10" priority="1" operator="greaterThan">
      <formula>#REF!</formula>
    </cfRule>
  </conditionalFormatting>
  <dataValidations count="2">
    <dataValidation allowBlank="1" showErrorMessage="1" sqref="A3:D3" xr:uid="{00000000-0002-0000-0500-000000000000}"/>
    <dataValidation type="custom" allowBlank="1" showInputMessage="1" showErrorMessage="1" errorTitle="Znaki po przecinku" error="Wpisana wartość może mieć wyłącznie 1 znak po przecinku." sqref="E32:F32 E61" xr:uid="{00000000-0002-0000-0500-000001000000}">
      <formula1>MOD(E32*10,1)=0</formula1>
    </dataValidation>
  </dataValidations>
  <pageMargins left="0.31527777777777799" right="0.31527777777777799" top="0.74791666666666701" bottom="0.74791666666666701" header="0.51180555555555496" footer="0.51180555555555496"/>
  <pageSetup paperSize="9" scale="70" firstPageNumber="0" fitToHeight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0">
    <pageSetUpPr fitToPage="1"/>
  </sheetPr>
  <dimension ref="A1:I62"/>
  <sheetViews>
    <sheetView zoomScaleNormal="100" workbookViewId="0">
      <selection activeCell="B12" sqref="B12"/>
    </sheetView>
  </sheetViews>
  <sheetFormatPr defaultRowHeight="12.75"/>
  <cols>
    <col min="1" max="1" width="8.7109375" customWidth="1"/>
    <col min="2" max="2" width="11.140625" customWidth="1"/>
    <col min="3" max="3" width="44.85546875" customWidth="1"/>
    <col min="4" max="4" width="5.28515625" customWidth="1"/>
    <col min="5" max="5" width="19" style="98" customWidth="1"/>
    <col min="6" max="6" width="16.42578125" style="98" hidden="1" customWidth="1"/>
    <col min="7" max="8" width="8.7109375" customWidth="1"/>
    <col min="9" max="9" width="10.28515625" customWidth="1"/>
    <col min="10" max="1025" width="8.7109375" customWidth="1"/>
  </cols>
  <sheetData>
    <row r="1" spans="1:9" ht="21" customHeight="1">
      <c r="A1" s="334" t="s">
        <v>81</v>
      </c>
      <c r="B1" s="334"/>
      <c r="C1" s="334"/>
    </row>
    <row r="2" spans="1:9" ht="32.25" customHeight="1">
      <c r="A2" s="335" t="s">
        <v>82</v>
      </c>
      <c r="B2" s="335"/>
      <c r="C2" s="335"/>
      <c r="D2" s="335"/>
      <c r="E2" s="335"/>
      <c r="F2" s="335"/>
    </row>
    <row r="3" spans="1:9" ht="9" customHeight="1"/>
    <row r="4" spans="1:9" ht="72" customHeight="1">
      <c r="A4" s="336" t="s">
        <v>1</v>
      </c>
      <c r="B4" s="336"/>
      <c r="C4" s="336"/>
      <c r="D4" s="336"/>
      <c r="E4" s="85" t="s">
        <v>3</v>
      </c>
      <c r="F4" s="99" t="s">
        <v>84</v>
      </c>
    </row>
    <row r="5" spans="1:9">
      <c r="A5" s="337">
        <v>1</v>
      </c>
      <c r="B5" s="337"/>
      <c r="C5" s="337"/>
      <c r="D5" s="337"/>
      <c r="E5" s="100">
        <v>2</v>
      </c>
      <c r="F5" s="101">
        <v>3</v>
      </c>
    </row>
    <row r="6" spans="1:9">
      <c r="A6" s="338" t="s">
        <v>91</v>
      </c>
      <c r="B6" s="338"/>
      <c r="C6" s="338"/>
      <c r="D6" s="57" t="s">
        <v>6</v>
      </c>
      <c r="E6" s="61">
        <v>0</v>
      </c>
      <c r="F6" s="61">
        <v>2861.9</v>
      </c>
    </row>
    <row r="7" spans="1:9">
      <c r="A7" s="13" t="s">
        <v>15</v>
      </c>
      <c r="B7" s="338" t="s">
        <v>92</v>
      </c>
      <c r="C7" s="338"/>
      <c r="D7" s="57" t="s">
        <v>10</v>
      </c>
      <c r="E7" s="61">
        <v>0</v>
      </c>
      <c r="F7" s="61">
        <v>3202.7</v>
      </c>
    </row>
    <row r="8" spans="1:9">
      <c r="A8" s="338" t="s">
        <v>93</v>
      </c>
      <c r="B8" s="338"/>
      <c r="C8" s="338"/>
      <c r="D8" s="57" t="s">
        <v>12</v>
      </c>
      <c r="E8" s="61">
        <f>E9+E11+E12+E13</f>
        <v>20451.900000000001</v>
      </c>
      <c r="F8" s="61">
        <f>F9+F11+F12+F13</f>
        <v>0</v>
      </c>
    </row>
    <row r="9" spans="1:9">
      <c r="A9" s="336" t="s">
        <v>94</v>
      </c>
      <c r="B9" s="339" t="s">
        <v>95</v>
      </c>
      <c r="C9" s="339"/>
      <c r="D9" s="57" t="s">
        <v>14</v>
      </c>
      <c r="E9" s="61">
        <v>20396.900000000001</v>
      </c>
      <c r="F9" s="61"/>
    </row>
    <row r="10" spans="1:9" ht="33.75">
      <c r="A10" s="336"/>
      <c r="B10" s="59" t="s">
        <v>96</v>
      </c>
      <c r="C10" s="60" t="s">
        <v>97</v>
      </c>
      <c r="D10" s="57" t="s">
        <v>17</v>
      </c>
      <c r="E10" s="61">
        <f>1200-25</f>
        <v>1175</v>
      </c>
      <c r="F10" s="61"/>
      <c r="I10" s="78"/>
    </row>
    <row r="11" spans="1:9">
      <c r="A11" s="336"/>
      <c r="B11" s="338" t="s">
        <v>98</v>
      </c>
      <c r="C11" s="338"/>
      <c r="D11" s="57" t="s">
        <v>19</v>
      </c>
      <c r="E11" s="61"/>
      <c r="F11" s="61"/>
    </row>
    <row r="12" spans="1:9">
      <c r="A12" s="336"/>
      <c r="B12" s="338" t="s">
        <v>99</v>
      </c>
      <c r="C12" s="338"/>
      <c r="D12" s="57" t="s">
        <v>21</v>
      </c>
      <c r="E12" s="61"/>
      <c r="F12" s="61"/>
    </row>
    <row r="13" spans="1:9">
      <c r="A13" s="336"/>
      <c r="B13" s="338" t="s">
        <v>100</v>
      </c>
      <c r="C13" s="338"/>
      <c r="D13" s="57" t="s">
        <v>24</v>
      </c>
      <c r="E13" s="61">
        <v>55</v>
      </c>
      <c r="F13" s="61"/>
    </row>
    <row r="14" spans="1:9">
      <c r="A14" s="338" t="s">
        <v>101</v>
      </c>
      <c r="B14" s="338"/>
      <c r="C14" s="338"/>
      <c r="D14" s="57" t="s">
        <v>27</v>
      </c>
      <c r="E14" s="61">
        <f>E15+E21+E27+E33</f>
        <v>20451.900000000001</v>
      </c>
      <c r="F14" s="61">
        <f>F15+F21+F27+F33</f>
        <v>1591.8</v>
      </c>
    </row>
    <row r="15" spans="1:9">
      <c r="A15" s="340" t="s">
        <v>8</v>
      </c>
      <c r="B15" s="338" t="s">
        <v>102</v>
      </c>
      <c r="C15" s="338"/>
      <c r="D15" s="57" t="s">
        <v>103</v>
      </c>
      <c r="E15" s="61">
        <f>E16+E17+E18+E19+E20</f>
        <v>19251.900000000001</v>
      </c>
      <c r="F15" s="61">
        <f>F16+F17+F18+F19+F20</f>
        <v>0</v>
      </c>
    </row>
    <row r="16" spans="1:9">
      <c r="A16" s="340"/>
      <c r="B16" s="336" t="s">
        <v>8</v>
      </c>
      <c r="C16" s="13" t="s">
        <v>104</v>
      </c>
      <c r="D16" s="57" t="s">
        <v>105</v>
      </c>
      <c r="E16" s="61">
        <v>7228.8</v>
      </c>
      <c r="F16" s="61"/>
    </row>
    <row r="17" spans="1:6">
      <c r="A17" s="340"/>
      <c r="B17" s="336"/>
      <c r="C17" s="13" t="s">
        <v>106</v>
      </c>
      <c r="D17" s="57" t="s">
        <v>107</v>
      </c>
      <c r="E17" s="61">
        <v>650</v>
      </c>
      <c r="F17" s="61"/>
    </row>
    <row r="18" spans="1:6">
      <c r="A18" s="340"/>
      <c r="B18" s="336"/>
      <c r="C18" s="13" t="s">
        <v>108</v>
      </c>
      <c r="D18" s="57" t="s">
        <v>109</v>
      </c>
      <c r="E18" s="61">
        <v>11143.1</v>
      </c>
      <c r="F18" s="61"/>
    </row>
    <row r="19" spans="1:6">
      <c r="A19" s="340"/>
      <c r="B19" s="336"/>
      <c r="C19" s="13" t="s">
        <v>110</v>
      </c>
      <c r="D19" s="57" t="s">
        <v>111</v>
      </c>
      <c r="E19" s="61">
        <v>30</v>
      </c>
      <c r="F19" s="61"/>
    </row>
    <row r="20" spans="1:6">
      <c r="A20" s="340"/>
      <c r="B20" s="336"/>
      <c r="C20" s="13" t="s">
        <v>112</v>
      </c>
      <c r="D20" s="57" t="s">
        <v>113</v>
      </c>
      <c r="E20" s="61">
        <v>200</v>
      </c>
      <c r="F20" s="61"/>
    </row>
    <row r="21" spans="1:6">
      <c r="A21" s="340"/>
      <c r="B21" s="338" t="s">
        <v>114</v>
      </c>
      <c r="C21" s="338"/>
      <c r="D21" s="57" t="s">
        <v>115</v>
      </c>
      <c r="E21" s="61">
        <f>E22+E23+E24+E25+E26</f>
        <v>1200</v>
      </c>
      <c r="F21" s="61">
        <f>F22+F23+F24+F25+F26</f>
        <v>0</v>
      </c>
    </row>
    <row r="22" spans="1:6">
      <c r="A22" s="340"/>
      <c r="B22" s="336" t="s">
        <v>8</v>
      </c>
      <c r="C22" s="13" t="s">
        <v>104</v>
      </c>
      <c r="D22" s="57" t="s">
        <v>116</v>
      </c>
      <c r="E22" s="61">
        <v>170</v>
      </c>
      <c r="F22" s="61"/>
    </row>
    <row r="23" spans="1:6">
      <c r="A23" s="340"/>
      <c r="B23" s="336"/>
      <c r="C23" s="13" t="s">
        <v>106</v>
      </c>
      <c r="D23" s="57" t="s">
        <v>117</v>
      </c>
      <c r="E23" s="61">
        <v>45</v>
      </c>
      <c r="F23" s="61"/>
    </row>
    <row r="24" spans="1:6">
      <c r="A24" s="340"/>
      <c r="B24" s="336"/>
      <c r="C24" s="13" t="s">
        <v>118</v>
      </c>
      <c r="D24" s="57" t="s">
        <v>119</v>
      </c>
      <c r="E24" s="61">
        <f>960-16</f>
        <v>944</v>
      </c>
      <c r="F24" s="61"/>
    </row>
    <row r="25" spans="1:6">
      <c r="A25" s="340"/>
      <c r="B25" s="336"/>
      <c r="C25" s="13" t="s">
        <v>110</v>
      </c>
      <c r="D25" s="57" t="s">
        <v>120</v>
      </c>
      <c r="E25" s="61">
        <v>25</v>
      </c>
      <c r="F25" s="61"/>
    </row>
    <row r="26" spans="1:6">
      <c r="A26" s="340"/>
      <c r="B26" s="336"/>
      <c r="C26" s="13" t="s">
        <v>112</v>
      </c>
      <c r="D26" s="57" t="s">
        <v>121</v>
      </c>
      <c r="E26" s="61">
        <v>16</v>
      </c>
      <c r="F26" s="61"/>
    </row>
    <row r="27" spans="1:6">
      <c r="A27" s="340"/>
      <c r="B27" s="338" t="s">
        <v>122</v>
      </c>
      <c r="C27" s="338"/>
      <c r="D27" s="57" t="s">
        <v>123</v>
      </c>
      <c r="E27" s="61"/>
      <c r="F27" s="61">
        <v>1550</v>
      </c>
    </row>
    <row r="28" spans="1:6">
      <c r="A28" s="340"/>
      <c r="B28" s="336" t="s">
        <v>15</v>
      </c>
      <c r="C28" s="13" t="s">
        <v>124</v>
      </c>
      <c r="D28" s="57" t="s">
        <v>125</v>
      </c>
      <c r="E28" s="61"/>
      <c r="F28" s="61">
        <v>491</v>
      </c>
    </row>
    <row r="29" spans="1:6">
      <c r="A29" s="340"/>
      <c r="B29" s="336"/>
      <c r="C29" s="13" t="s">
        <v>126</v>
      </c>
      <c r="D29" s="57" t="s">
        <v>127</v>
      </c>
      <c r="E29" s="61"/>
      <c r="F29" s="61">
        <v>491</v>
      </c>
    </row>
    <row r="30" spans="1:6">
      <c r="A30" s="340"/>
      <c r="B30" s="336"/>
      <c r="C30" s="13" t="s">
        <v>128</v>
      </c>
      <c r="D30" s="57" t="s">
        <v>129</v>
      </c>
      <c r="E30" s="61"/>
      <c r="F30" s="61">
        <v>100</v>
      </c>
    </row>
    <row r="31" spans="1:6">
      <c r="A31" s="340"/>
      <c r="B31" s="336"/>
      <c r="C31" s="13" t="s">
        <v>130</v>
      </c>
      <c r="D31" s="57" t="s">
        <v>131</v>
      </c>
      <c r="E31" s="61"/>
      <c r="F31" s="61">
        <v>150</v>
      </c>
    </row>
    <row r="32" spans="1:6">
      <c r="A32" s="340"/>
      <c r="B32" s="336"/>
      <c r="C32" s="13" t="s">
        <v>132</v>
      </c>
      <c r="D32" s="57" t="s">
        <v>133</v>
      </c>
      <c r="E32" s="61"/>
      <c r="F32" s="61">
        <v>150</v>
      </c>
    </row>
    <row r="33" spans="1:6" ht="29.25" customHeight="1">
      <c r="A33" s="340"/>
      <c r="B33" s="341" t="s">
        <v>134</v>
      </c>
      <c r="C33" s="341"/>
      <c r="D33" s="57" t="s">
        <v>135</v>
      </c>
      <c r="E33" s="61"/>
      <c r="F33" s="61">
        <v>41.8</v>
      </c>
    </row>
    <row r="34" spans="1:6">
      <c r="A34" s="338" t="s">
        <v>136</v>
      </c>
      <c r="B34" s="338"/>
      <c r="C34" s="338"/>
      <c r="D34" s="57" t="s">
        <v>137</v>
      </c>
      <c r="E34" s="61">
        <f>E6+E8-E14</f>
        <v>0</v>
      </c>
      <c r="F34" s="61">
        <f>F6+F8-F14</f>
        <v>1270.1000000000001</v>
      </c>
    </row>
    <row r="35" spans="1:6">
      <c r="A35" s="13" t="s">
        <v>15</v>
      </c>
      <c r="B35" s="338" t="s">
        <v>92</v>
      </c>
      <c r="C35" s="338"/>
      <c r="D35" s="57">
        <v>30</v>
      </c>
      <c r="E35" s="61">
        <v>0</v>
      </c>
      <c r="F35" s="61">
        <v>0</v>
      </c>
    </row>
    <row r="37" spans="1:6">
      <c r="A37" t="s">
        <v>342</v>
      </c>
    </row>
    <row r="38" spans="1:6">
      <c r="E38" s="102"/>
      <c r="F38" s="102"/>
    </row>
    <row r="40" spans="1:6">
      <c r="E40" s="103"/>
    </row>
    <row r="47" spans="1:6" hidden="1"/>
    <row r="48" spans="1:6" hidden="1"/>
    <row r="49" spans="2:5" hidden="1"/>
    <row r="50" spans="2:5" hidden="1">
      <c r="B50" t="s">
        <v>343</v>
      </c>
      <c r="C50">
        <v>12352.9</v>
      </c>
      <c r="E50" s="104">
        <f t="shared" ref="E50:E57" si="0">C50/$C$58</f>
        <v>0.65724744478555341</v>
      </c>
    </row>
    <row r="51" spans="2:5" hidden="1">
      <c r="B51" t="s">
        <v>344</v>
      </c>
      <c r="C51">
        <v>620</v>
      </c>
      <c r="E51" s="104">
        <f t="shared" si="0"/>
        <v>3.2987672187667925E-2</v>
      </c>
    </row>
    <row r="52" spans="2:5" hidden="1">
      <c r="B52" t="s">
        <v>345</v>
      </c>
      <c r="C52">
        <v>4700</v>
      </c>
      <c r="E52" s="104">
        <f t="shared" si="0"/>
        <v>0.25006783755167622</v>
      </c>
    </row>
    <row r="53" spans="2:5" hidden="1">
      <c r="B53" t="s">
        <v>112</v>
      </c>
      <c r="C53">
        <v>300</v>
      </c>
      <c r="E53" s="104">
        <f t="shared" si="0"/>
        <v>1.596177686500061E-2</v>
      </c>
    </row>
    <row r="54" spans="2:5" hidden="1">
      <c r="B54" t="s">
        <v>343</v>
      </c>
      <c r="C54">
        <v>152</v>
      </c>
      <c r="E54" s="104">
        <f t="shared" si="0"/>
        <v>8.0873002782669758E-3</v>
      </c>
    </row>
    <row r="55" spans="2:5" hidden="1">
      <c r="B55" t="s">
        <v>344</v>
      </c>
      <c r="C55">
        <v>40</v>
      </c>
      <c r="E55" s="104">
        <f t="shared" si="0"/>
        <v>2.1282369153334149E-3</v>
      </c>
    </row>
    <row r="56" spans="2:5" hidden="1">
      <c r="B56" t="s">
        <v>346</v>
      </c>
      <c r="C56">
        <v>620</v>
      </c>
      <c r="E56" s="104">
        <f t="shared" si="0"/>
        <v>3.2987672187667925E-2</v>
      </c>
    </row>
    <row r="57" spans="2:5" hidden="1">
      <c r="B57" t="s">
        <v>112</v>
      </c>
      <c r="C57">
        <v>10</v>
      </c>
      <c r="E57" s="104">
        <f t="shared" si="0"/>
        <v>5.3205922883335372E-4</v>
      </c>
    </row>
    <row r="58" spans="2:5" hidden="1">
      <c r="C58">
        <f>SUM(C50:C57)</f>
        <v>18794.900000000001</v>
      </c>
      <c r="E58" s="104"/>
    </row>
    <row r="59" spans="2:5" hidden="1"/>
    <row r="60" spans="2:5" hidden="1"/>
    <row r="61" spans="2:5" hidden="1"/>
    <row r="62" spans="2:5" hidden="1"/>
  </sheetData>
  <mergeCells count="23">
    <mergeCell ref="A34:C34"/>
    <mergeCell ref="B35:C35"/>
    <mergeCell ref="A14:C14"/>
    <mergeCell ref="A15:A33"/>
    <mergeCell ref="B15:C15"/>
    <mergeCell ref="B16:B20"/>
    <mergeCell ref="B21:C21"/>
    <mergeCell ref="B22:B26"/>
    <mergeCell ref="B27:C27"/>
    <mergeCell ref="B28:B32"/>
    <mergeCell ref="B33:C33"/>
    <mergeCell ref="B7:C7"/>
    <mergeCell ref="A8:C8"/>
    <mergeCell ref="A9:A13"/>
    <mergeCell ref="B9:C9"/>
    <mergeCell ref="B11:C11"/>
    <mergeCell ref="B12:C12"/>
    <mergeCell ref="B13:C13"/>
    <mergeCell ref="A1:C1"/>
    <mergeCell ref="A2:F2"/>
    <mergeCell ref="A4:D4"/>
    <mergeCell ref="A5:D5"/>
    <mergeCell ref="A6:C6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tabColor rgb="FF00B0F0"/>
    <pageSetUpPr fitToPage="1"/>
  </sheetPr>
  <dimension ref="A1:U53"/>
  <sheetViews>
    <sheetView zoomScaleNormal="100" workbookViewId="0">
      <selection activeCell="L26" sqref="L26"/>
    </sheetView>
  </sheetViews>
  <sheetFormatPr defaultRowHeight="12.75"/>
  <cols>
    <col min="1" max="1" width="7.140625" customWidth="1"/>
    <col min="2" max="2" width="6.42578125" customWidth="1"/>
    <col min="3" max="3" width="70" customWidth="1"/>
    <col min="4" max="4" width="5.7109375" customWidth="1"/>
    <col min="5" max="5" width="18.5703125" customWidth="1"/>
    <col min="6" max="6" width="18.42578125" hidden="1" customWidth="1"/>
    <col min="7" max="7" width="15.5703125" hidden="1" customWidth="1"/>
    <col min="8" max="8" width="21.140625" hidden="1" customWidth="1"/>
    <col min="9" max="9" width="21.85546875" hidden="1" customWidth="1"/>
    <col min="10" max="10" width="8.7109375" customWidth="1"/>
    <col min="11" max="11" width="16.28515625" style="49" customWidth="1"/>
    <col min="12" max="12" width="23" style="49" customWidth="1"/>
    <col min="13" max="13" width="17" customWidth="1"/>
    <col min="14" max="19" width="8.7109375" customWidth="1"/>
    <col min="20" max="20" width="16.42578125" customWidth="1"/>
    <col min="21" max="1027" width="8.7109375" customWidth="1"/>
  </cols>
  <sheetData>
    <row r="1" spans="1:21">
      <c r="A1" s="105" t="s">
        <v>328</v>
      </c>
      <c r="B1" s="67"/>
      <c r="C1" s="67"/>
      <c r="D1" s="67"/>
      <c r="E1" s="67"/>
    </row>
    <row r="2" spans="1:21" ht="15.75" customHeight="1">
      <c r="A2" s="442" t="s">
        <v>347</v>
      </c>
      <c r="B2" s="442"/>
      <c r="C2" s="442"/>
      <c r="D2" s="442"/>
      <c r="E2" s="442"/>
    </row>
    <row r="3" spans="1:21" ht="15.75">
      <c r="A3" s="106"/>
      <c r="B3" s="106"/>
      <c r="C3" s="106"/>
      <c r="D3" s="106"/>
      <c r="E3" s="67"/>
      <c r="Q3">
        <v>473</v>
      </c>
      <c r="R3">
        <v>1300</v>
      </c>
      <c r="S3">
        <v>9</v>
      </c>
      <c r="T3" s="143">
        <f>Q3*R3*S3</f>
        <v>5534100</v>
      </c>
      <c r="U3" s="143"/>
    </row>
    <row r="4" spans="1:21" ht="15.75" customHeight="1">
      <c r="A4" s="443" t="s">
        <v>1</v>
      </c>
      <c r="B4" s="443"/>
      <c r="C4" s="443"/>
      <c r="D4" s="443"/>
      <c r="E4" s="123" t="s">
        <v>421</v>
      </c>
      <c r="F4" s="146" t="s">
        <v>348</v>
      </c>
      <c r="G4" s="107" t="s">
        <v>349</v>
      </c>
      <c r="H4" s="13" t="s">
        <v>329</v>
      </c>
      <c r="I4" s="108" t="s">
        <v>350</v>
      </c>
      <c r="Q4">
        <v>400</v>
      </c>
      <c r="R4">
        <v>900</v>
      </c>
      <c r="S4">
        <v>9</v>
      </c>
      <c r="T4" s="143">
        <f>Q4*R4*S4</f>
        <v>3240000</v>
      </c>
    </row>
    <row r="5" spans="1:21" ht="15">
      <c r="A5" s="444">
        <v>1</v>
      </c>
      <c r="B5" s="444"/>
      <c r="C5" s="444"/>
      <c r="D5" s="444"/>
      <c r="E5" s="151">
        <v>2</v>
      </c>
      <c r="F5" s="147"/>
      <c r="G5" s="107"/>
      <c r="H5" s="13"/>
      <c r="I5" s="13"/>
      <c r="T5" s="144">
        <f>T3+T4</f>
        <v>8774100</v>
      </c>
    </row>
    <row r="6" spans="1:21" ht="15.75" customHeight="1">
      <c r="A6" s="445" t="s">
        <v>351</v>
      </c>
      <c r="B6" s="445"/>
      <c r="C6" s="445"/>
      <c r="D6" s="110" t="s">
        <v>6</v>
      </c>
      <c r="E6" s="152">
        <v>0</v>
      </c>
      <c r="F6" s="147">
        <v>2058.1999999999998</v>
      </c>
      <c r="G6" s="111">
        <v>2058.1999999999998</v>
      </c>
      <c r="H6" s="112"/>
      <c r="I6" s="13"/>
      <c r="M6" s="97"/>
    </row>
    <row r="7" spans="1:21" ht="15.75" customHeight="1">
      <c r="A7" s="446" t="s">
        <v>352</v>
      </c>
      <c r="B7" s="446"/>
      <c r="C7" s="446"/>
      <c r="D7" s="110" t="s">
        <v>10</v>
      </c>
      <c r="E7" s="152">
        <v>0</v>
      </c>
      <c r="F7" s="147">
        <v>2058.1999999999998</v>
      </c>
      <c r="G7" s="111">
        <v>2058.1999999999998</v>
      </c>
      <c r="H7" s="112"/>
      <c r="I7" s="13"/>
    </row>
    <row r="8" spans="1:21" ht="15.75" customHeight="1">
      <c r="A8" s="447" t="s">
        <v>353</v>
      </c>
      <c r="B8" s="447"/>
      <c r="C8" s="447"/>
      <c r="D8" s="110" t="s">
        <v>12</v>
      </c>
      <c r="E8" s="153">
        <f>E9+E11</f>
        <v>17988</v>
      </c>
      <c r="F8" s="147">
        <f>F9+F11</f>
        <v>13073.699999999999</v>
      </c>
      <c r="G8" s="113">
        <f>E8-F8</f>
        <v>4914.3000000000011</v>
      </c>
      <c r="H8" s="109">
        <f>H9+H11</f>
        <v>0</v>
      </c>
      <c r="I8" s="13"/>
    </row>
    <row r="9" spans="1:21" ht="15.75" customHeight="1">
      <c r="A9" s="321" t="s">
        <v>8</v>
      </c>
      <c r="B9" s="448" t="s">
        <v>354</v>
      </c>
      <c r="C9" s="448"/>
      <c r="D9" s="110" t="s">
        <v>14</v>
      </c>
      <c r="E9" s="154">
        <v>17988</v>
      </c>
      <c r="F9" s="147">
        <v>13073.4</v>
      </c>
      <c r="G9" s="113">
        <f>E9-F9</f>
        <v>4914.6000000000004</v>
      </c>
      <c r="H9" s="40"/>
      <c r="I9" s="13"/>
    </row>
    <row r="10" spans="1:21" ht="15.75" customHeight="1">
      <c r="A10" s="321"/>
      <c r="B10" s="449" t="s">
        <v>355</v>
      </c>
      <c r="C10" s="449"/>
      <c r="D10" s="110" t="s">
        <v>17</v>
      </c>
      <c r="E10" s="154">
        <v>1079.2</v>
      </c>
      <c r="F10" s="147"/>
      <c r="G10" s="113">
        <f>E10-F10</f>
        <v>1079.2</v>
      </c>
      <c r="H10" s="40"/>
      <c r="I10" s="13"/>
      <c r="N10">
        <f>E9*6%</f>
        <v>1079.28</v>
      </c>
      <c r="T10">
        <f>63*1000</f>
        <v>63000</v>
      </c>
    </row>
    <row r="11" spans="1:21" ht="15.75" customHeight="1">
      <c r="A11" s="321"/>
      <c r="B11" s="450" t="s">
        <v>100</v>
      </c>
      <c r="C11" s="450"/>
      <c r="D11" s="110" t="s">
        <v>19</v>
      </c>
      <c r="E11" s="154"/>
      <c r="F11" s="147">
        <v>0.3</v>
      </c>
      <c r="G11" s="113">
        <f>E11-F11</f>
        <v>-0.3</v>
      </c>
      <c r="H11" s="40"/>
      <c r="I11" s="13"/>
    </row>
    <row r="12" spans="1:21" ht="15.75" customHeight="1">
      <c r="A12" s="452" t="s">
        <v>356</v>
      </c>
      <c r="B12" s="452"/>
      <c r="C12" s="452"/>
      <c r="D12" s="110" t="s">
        <v>21</v>
      </c>
      <c r="E12" s="155">
        <f>E13+E19</f>
        <v>18141.04</v>
      </c>
      <c r="F12" s="148">
        <f>F13+F19</f>
        <v>11163.6</v>
      </c>
      <c r="G12" s="114">
        <f>G13+G19</f>
        <v>6977.4400000000005</v>
      </c>
      <c r="H12" s="115">
        <f>H13+H19</f>
        <v>0</v>
      </c>
      <c r="I12" s="13"/>
    </row>
    <row r="13" spans="1:21" ht="15.75" customHeight="1">
      <c r="A13" s="453" t="s">
        <v>8</v>
      </c>
      <c r="B13" s="322" t="s">
        <v>357</v>
      </c>
      <c r="C13" s="322"/>
      <c r="D13" s="110" t="s">
        <v>24</v>
      </c>
      <c r="E13" s="155">
        <f>SUM(E14:E18)</f>
        <v>17061.84</v>
      </c>
      <c r="F13" s="148">
        <f>SUM(F14:F18)</f>
        <v>10543.4</v>
      </c>
      <c r="G13" s="114">
        <f>SUM(G14:G18)</f>
        <v>6518.4400000000005</v>
      </c>
      <c r="H13" s="115">
        <f>SUM(H14:H18)</f>
        <v>0</v>
      </c>
      <c r="I13" s="13"/>
      <c r="K13" s="97">
        <f>E14+E16+E18</f>
        <v>16186.44</v>
      </c>
      <c r="L13" s="49">
        <f>E16/K13</f>
        <v>0.59999851727742481</v>
      </c>
    </row>
    <row r="14" spans="1:21" ht="15.75" customHeight="1">
      <c r="A14" s="453"/>
      <c r="B14" s="322" t="s">
        <v>8</v>
      </c>
      <c r="C14" s="116" t="s">
        <v>358</v>
      </c>
      <c r="D14" s="110" t="s">
        <v>27</v>
      </c>
      <c r="E14" s="154">
        <f>4581+1291.3+502.3</f>
        <v>6374.6</v>
      </c>
      <c r="F14" s="147">
        <v>4043.9</v>
      </c>
      <c r="G14" s="113">
        <f>E14-F14</f>
        <v>2330.7000000000003</v>
      </c>
      <c r="H14" s="115"/>
      <c r="I14" s="117">
        <f t="shared" ref="I14:I24" si="0">H14-F14</f>
        <v>-4043.9</v>
      </c>
    </row>
    <row r="15" spans="1:21" ht="37.5" customHeight="1">
      <c r="A15" s="453"/>
      <c r="B15" s="322"/>
      <c r="C15" s="116" t="s">
        <v>359</v>
      </c>
      <c r="D15" s="110" t="s">
        <v>103</v>
      </c>
      <c r="E15" s="154">
        <f>686.4+36</f>
        <v>722.4</v>
      </c>
      <c r="F15" s="147">
        <v>367.5</v>
      </c>
      <c r="G15" s="113">
        <f>E15-F15</f>
        <v>354.9</v>
      </c>
      <c r="H15" s="115"/>
      <c r="I15" s="117">
        <f t="shared" si="0"/>
        <v>-367.5</v>
      </c>
      <c r="L15" s="49">
        <f>K13*0.6</f>
        <v>9711.8639999999996</v>
      </c>
      <c r="P15">
        <v>613</v>
      </c>
      <c r="Q15">
        <v>500</v>
      </c>
      <c r="R15">
        <v>9</v>
      </c>
      <c r="S15">
        <f>P15*Q15*R15</f>
        <v>2758500</v>
      </c>
      <c r="T15" s="143"/>
    </row>
    <row r="16" spans="1:21" ht="21" customHeight="1">
      <c r="A16" s="453"/>
      <c r="B16" s="322"/>
      <c r="C16" s="116" t="s">
        <v>360</v>
      </c>
      <c r="D16" s="110" t="s">
        <v>105</v>
      </c>
      <c r="E16" s="154">
        <v>9711.84</v>
      </c>
      <c r="F16" s="147">
        <v>6098.1</v>
      </c>
      <c r="G16" s="113">
        <f>E16-F16</f>
        <v>3613.74</v>
      </c>
      <c r="H16" s="115"/>
      <c r="I16" s="117">
        <f t="shared" si="0"/>
        <v>-6098.1</v>
      </c>
      <c r="P16">
        <v>232</v>
      </c>
      <c r="Q16">
        <v>400</v>
      </c>
      <c r="R16" s="49">
        <v>9</v>
      </c>
      <c r="S16" s="49">
        <f t="shared" ref="S16:S24" si="1">P16*Q16*R16</f>
        <v>835200</v>
      </c>
      <c r="T16" s="143"/>
    </row>
    <row r="17" spans="1:20" ht="42.75" customHeight="1">
      <c r="A17" s="453"/>
      <c r="B17" s="322"/>
      <c r="C17" s="116" t="s">
        <v>361</v>
      </c>
      <c r="D17" s="110" t="s">
        <v>107</v>
      </c>
      <c r="E17" s="154">
        <v>153</v>
      </c>
      <c r="F17" s="147">
        <v>0</v>
      </c>
      <c r="G17" s="113">
        <f>E17-F17</f>
        <v>153</v>
      </c>
      <c r="H17" s="115"/>
      <c r="I17" s="117">
        <f t="shared" si="0"/>
        <v>0</v>
      </c>
      <c r="P17">
        <v>150</v>
      </c>
      <c r="Q17">
        <v>300</v>
      </c>
      <c r="R17" s="49">
        <v>9</v>
      </c>
      <c r="S17" s="49">
        <f t="shared" si="1"/>
        <v>405000</v>
      </c>
      <c r="T17" s="143"/>
    </row>
    <row r="18" spans="1:20" ht="26.25" customHeight="1">
      <c r="A18" s="453"/>
      <c r="B18" s="322"/>
      <c r="C18" s="116" t="s">
        <v>112</v>
      </c>
      <c r="D18" s="110" t="s">
        <v>109</v>
      </c>
      <c r="E18" s="154">
        <v>100</v>
      </c>
      <c r="F18" s="147">
        <v>33.9</v>
      </c>
      <c r="G18" s="113">
        <f>E18-F18</f>
        <v>66.099999999999994</v>
      </c>
      <c r="H18" s="115"/>
      <c r="I18" s="117">
        <f t="shared" si="0"/>
        <v>-33.9</v>
      </c>
      <c r="P18">
        <v>100</v>
      </c>
      <c r="Q18">
        <v>200</v>
      </c>
      <c r="R18" s="49">
        <v>9</v>
      </c>
      <c r="S18" s="49">
        <f t="shared" si="1"/>
        <v>180000</v>
      </c>
      <c r="T18" s="143"/>
    </row>
    <row r="19" spans="1:20" ht="15.75" customHeight="1">
      <c r="A19" s="453"/>
      <c r="B19" s="322" t="s">
        <v>362</v>
      </c>
      <c r="C19" s="322"/>
      <c r="D19" s="110">
        <f t="shared" ref="D19:D27" si="2">D18+1</f>
        <v>14</v>
      </c>
      <c r="E19" s="155">
        <f>SUM(E20:E24)</f>
        <v>1079.2</v>
      </c>
      <c r="F19" s="148">
        <f>SUM(F20:F24)</f>
        <v>620.19999999999993</v>
      </c>
      <c r="G19" s="114">
        <f>SUM(G20:G24)</f>
        <v>459.00000000000006</v>
      </c>
      <c r="H19" s="115">
        <f>SUM(H20:H24)</f>
        <v>0</v>
      </c>
      <c r="I19" s="117">
        <f t="shared" si="0"/>
        <v>-620.19999999999993</v>
      </c>
      <c r="P19">
        <v>114</v>
      </c>
      <c r="Q19">
        <v>100</v>
      </c>
      <c r="R19" s="49">
        <v>9</v>
      </c>
      <c r="S19" s="49">
        <f t="shared" si="1"/>
        <v>102600</v>
      </c>
      <c r="T19" s="143"/>
    </row>
    <row r="20" spans="1:20" ht="15.75" customHeight="1">
      <c r="A20" s="453"/>
      <c r="B20" s="324" t="s">
        <v>8</v>
      </c>
      <c r="C20" s="116" t="s">
        <v>358</v>
      </c>
      <c r="D20" s="110">
        <f t="shared" si="2"/>
        <v>15</v>
      </c>
      <c r="E20" s="154">
        <v>150.80000000000001</v>
      </c>
      <c r="F20" s="147">
        <v>127.9</v>
      </c>
      <c r="G20" s="113">
        <f t="shared" ref="G20:G25" si="3">E20-F20</f>
        <v>22.900000000000006</v>
      </c>
      <c r="H20" s="115"/>
      <c r="I20" s="117">
        <f t="shared" si="0"/>
        <v>-127.9</v>
      </c>
      <c r="S20" s="49">
        <f t="shared" si="1"/>
        <v>0</v>
      </c>
      <c r="T20" s="143"/>
    </row>
    <row r="21" spans="1:20" ht="36.75" customHeight="1">
      <c r="A21" s="453"/>
      <c r="B21" s="324"/>
      <c r="C21" s="116" t="s">
        <v>359</v>
      </c>
      <c r="D21" s="110">
        <f t="shared" si="2"/>
        <v>16</v>
      </c>
      <c r="E21" s="154">
        <f>43.2+20</f>
        <v>63.2</v>
      </c>
      <c r="F21" s="147">
        <v>25.2</v>
      </c>
      <c r="G21" s="113">
        <f t="shared" si="3"/>
        <v>38</v>
      </c>
      <c r="H21" s="115"/>
      <c r="I21" s="117">
        <f t="shared" si="0"/>
        <v>-25.2</v>
      </c>
      <c r="M21" s="97">
        <f>E10-E19</f>
        <v>0</v>
      </c>
      <c r="S21" s="49">
        <f t="shared" si="1"/>
        <v>0</v>
      </c>
      <c r="T21" s="145">
        <f>SUM(S15:S24)</f>
        <v>4581000</v>
      </c>
    </row>
    <row r="22" spans="1:20" ht="21.75" customHeight="1">
      <c r="A22" s="453"/>
      <c r="B22" s="324"/>
      <c r="C22" s="116" t="s">
        <v>363</v>
      </c>
      <c r="D22" s="110">
        <f t="shared" si="2"/>
        <v>17</v>
      </c>
      <c r="E22" s="154">
        <f>583.2+272</f>
        <v>855.2</v>
      </c>
      <c r="F22" s="147">
        <v>464.3</v>
      </c>
      <c r="G22" s="113">
        <f t="shared" si="3"/>
        <v>390.90000000000003</v>
      </c>
      <c r="H22" s="115"/>
      <c r="I22" s="117">
        <f t="shared" si="0"/>
        <v>-464.3</v>
      </c>
      <c r="S22" s="49">
        <f t="shared" si="1"/>
        <v>0</v>
      </c>
    </row>
    <row r="23" spans="1:20" ht="22.5" customHeight="1">
      <c r="A23" s="453"/>
      <c r="B23" s="324"/>
      <c r="C23" s="116" t="s">
        <v>110</v>
      </c>
      <c r="D23" s="110">
        <f t="shared" si="2"/>
        <v>18</v>
      </c>
      <c r="E23" s="154">
        <v>0</v>
      </c>
      <c r="F23" s="147">
        <v>0</v>
      </c>
      <c r="G23" s="113">
        <f t="shared" si="3"/>
        <v>0</v>
      </c>
      <c r="H23" s="115"/>
      <c r="I23" s="117">
        <f t="shared" si="0"/>
        <v>0</v>
      </c>
      <c r="P23">
        <v>327</v>
      </c>
      <c r="Q23">
        <v>100</v>
      </c>
      <c r="R23">
        <v>9</v>
      </c>
      <c r="S23" s="49">
        <f t="shared" si="1"/>
        <v>294300</v>
      </c>
    </row>
    <row r="24" spans="1:20" ht="26.25" customHeight="1">
      <c r="A24" s="453"/>
      <c r="B24" s="324"/>
      <c r="C24" s="116" t="s">
        <v>112</v>
      </c>
      <c r="D24" s="110">
        <f t="shared" si="2"/>
        <v>19</v>
      </c>
      <c r="E24" s="154">
        <v>10</v>
      </c>
      <c r="F24" s="147">
        <v>2.8</v>
      </c>
      <c r="G24" s="113">
        <f t="shared" si="3"/>
        <v>7.2</v>
      </c>
      <c r="H24" s="115"/>
      <c r="I24" s="117">
        <f t="shared" si="0"/>
        <v>-2.8</v>
      </c>
      <c r="P24">
        <v>4</v>
      </c>
      <c r="Q24">
        <v>150</v>
      </c>
      <c r="R24">
        <v>9</v>
      </c>
      <c r="S24" s="49">
        <f t="shared" si="1"/>
        <v>5400</v>
      </c>
      <c r="T24" s="143"/>
    </row>
    <row r="25" spans="1:20" ht="15.75" customHeight="1">
      <c r="A25" s="321" t="s">
        <v>364</v>
      </c>
      <c r="B25" s="321"/>
      <c r="C25" s="321"/>
      <c r="D25" s="110">
        <f t="shared" si="2"/>
        <v>20</v>
      </c>
      <c r="E25" s="154">
        <v>0</v>
      </c>
      <c r="F25" s="149">
        <v>0</v>
      </c>
      <c r="G25" s="113">
        <f t="shared" si="3"/>
        <v>0</v>
      </c>
      <c r="H25" s="115">
        <v>0</v>
      </c>
      <c r="I25" s="13"/>
    </row>
    <row r="26" spans="1:20" ht="15.75" customHeight="1">
      <c r="A26" s="445" t="s">
        <v>365</v>
      </c>
      <c r="B26" s="445"/>
      <c r="C26" s="445"/>
      <c r="D26" s="110">
        <f t="shared" si="2"/>
        <v>21</v>
      </c>
      <c r="E26" s="156">
        <f>E6+E8-E12+E25</f>
        <v>-153.04000000000087</v>
      </c>
      <c r="F26" s="150">
        <f>F6+F8-F12+F25</f>
        <v>3968.2999999999975</v>
      </c>
      <c r="G26" s="118">
        <f>G6+G8-G12+G25</f>
        <v>-4.9399999999995998</v>
      </c>
      <c r="H26" s="119">
        <f>H6+H8-H12+H25</f>
        <v>0</v>
      </c>
      <c r="I26" s="13"/>
    </row>
    <row r="27" spans="1:20" ht="16.5" customHeight="1">
      <c r="A27" s="451" t="s">
        <v>352</v>
      </c>
      <c r="B27" s="451"/>
      <c r="C27" s="451"/>
      <c r="D27" s="33">
        <f t="shared" si="2"/>
        <v>22</v>
      </c>
      <c r="E27" s="157">
        <v>0</v>
      </c>
      <c r="F27" s="149">
        <v>0</v>
      </c>
      <c r="G27" s="113">
        <f>E27-F27</f>
        <v>0</v>
      </c>
      <c r="H27" s="13">
        <v>0</v>
      </c>
      <c r="I27" s="13"/>
    </row>
    <row r="28" spans="1:20">
      <c r="T28">
        <f>6374600-4581000</f>
        <v>1793600</v>
      </c>
    </row>
    <row r="29" spans="1:20">
      <c r="T29" s="49">
        <f>T28/9/500</f>
        <v>398.57777777777773</v>
      </c>
    </row>
    <row r="30" spans="1:20">
      <c r="S30" s="49"/>
    </row>
    <row r="31" spans="1:20">
      <c r="S31" s="49"/>
      <c r="T31" s="49"/>
    </row>
    <row r="32" spans="1:20">
      <c r="P32">
        <v>845</v>
      </c>
      <c r="Q32">
        <v>9</v>
      </c>
      <c r="R32">
        <v>500</v>
      </c>
      <c r="S32" s="49"/>
      <c r="T32" s="49">
        <f>P32*Q32*R32</f>
        <v>3802500</v>
      </c>
    </row>
    <row r="33" spans="4:20">
      <c r="P33">
        <v>150</v>
      </c>
      <c r="Q33">
        <v>9</v>
      </c>
      <c r="R33">
        <v>400</v>
      </c>
      <c r="S33" s="49"/>
      <c r="T33" s="49">
        <f t="shared" ref="T33:T35" si="4">P33*Q33*R33</f>
        <v>540000</v>
      </c>
    </row>
    <row r="34" spans="4:20">
      <c r="M34" s="144">
        <f>M36+M37</f>
        <v>583200</v>
      </c>
      <c r="P34">
        <v>100</v>
      </c>
      <c r="Q34">
        <v>9</v>
      </c>
      <c r="R34">
        <v>300</v>
      </c>
      <c r="S34" s="49"/>
      <c r="T34" s="49">
        <f t="shared" si="4"/>
        <v>270000</v>
      </c>
    </row>
    <row r="35" spans="4:20">
      <c r="P35">
        <v>114</v>
      </c>
      <c r="Q35">
        <v>9</v>
      </c>
      <c r="R35">
        <v>200</v>
      </c>
      <c r="S35" s="49"/>
      <c r="T35" s="49">
        <f t="shared" si="4"/>
        <v>205200</v>
      </c>
    </row>
    <row r="36" spans="4:20">
      <c r="D36">
        <v>56</v>
      </c>
      <c r="E36">
        <v>800</v>
      </c>
      <c r="J36">
        <v>9</v>
      </c>
      <c r="M36" s="143">
        <f>D36*E36*J36</f>
        <v>403200</v>
      </c>
      <c r="T36" s="143"/>
    </row>
    <row r="37" spans="4:20">
      <c r="D37">
        <v>40</v>
      </c>
      <c r="E37">
        <v>500</v>
      </c>
      <c r="J37">
        <v>9</v>
      </c>
      <c r="M37" s="143">
        <f>D37*E37*J37</f>
        <v>180000</v>
      </c>
    </row>
    <row r="38" spans="4:20">
      <c r="T38" s="143">
        <f>SUM(T32:T35)+S23+S24</f>
        <v>5117400</v>
      </c>
    </row>
    <row r="40" spans="4:20">
      <c r="D40">
        <v>9</v>
      </c>
      <c r="E40">
        <v>400</v>
      </c>
      <c r="J40">
        <v>9</v>
      </c>
      <c r="M40">
        <f>D40*E40*J40</f>
        <v>32400</v>
      </c>
    </row>
    <row r="44" spans="4:20">
      <c r="D44">
        <v>20</v>
      </c>
      <c r="E44">
        <v>500</v>
      </c>
      <c r="J44">
        <v>9</v>
      </c>
      <c r="M44">
        <f>D44*E44*J44</f>
        <v>90000</v>
      </c>
    </row>
    <row r="45" spans="4:20">
      <c r="D45">
        <v>1</v>
      </c>
      <c r="E45">
        <v>400</v>
      </c>
      <c r="J45">
        <v>9</v>
      </c>
      <c r="M45" s="49">
        <f t="shared" ref="M45:M48" si="5">D45*E45*J45</f>
        <v>3600</v>
      </c>
    </row>
    <row r="46" spans="4:20">
      <c r="D46">
        <v>2</v>
      </c>
      <c r="E46">
        <v>300</v>
      </c>
      <c r="J46">
        <v>9</v>
      </c>
      <c r="M46" s="49">
        <f t="shared" si="5"/>
        <v>5400</v>
      </c>
    </row>
    <row r="47" spans="4:20">
      <c r="D47">
        <v>1</v>
      </c>
      <c r="E47">
        <v>200</v>
      </c>
      <c r="J47">
        <v>9</v>
      </c>
      <c r="M47" s="49">
        <f t="shared" si="5"/>
        <v>1800</v>
      </c>
    </row>
    <row r="48" spans="4:20">
      <c r="M48" s="49">
        <f t="shared" si="5"/>
        <v>0</v>
      </c>
    </row>
    <row r="50" spans="4:20">
      <c r="M50">
        <f>SUM(M44:M49)</f>
        <v>100800</v>
      </c>
    </row>
    <row r="52" spans="4:20">
      <c r="T52">
        <f>(T38+T5+E15)/9</f>
        <v>1543580.2666666666</v>
      </c>
    </row>
    <row r="53" spans="4:20">
      <c r="D53">
        <v>100</v>
      </c>
      <c r="E53">
        <v>500</v>
      </c>
      <c r="J53">
        <v>9</v>
      </c>
      <c r="M53">
        <f>D53*E53*J53</f>
        <v>450000</v>
      </c>
    </row>
  </sheetData>
  <mergeCells count="19">
    <mergeCell ref="A25:C25"/>
    <mergeCell ref="A26:C26"/>
    <mergeCell ref="A27:C27"/>
    <mergeCell ref="A12:C12"/>
    <mergeCell ref="A13:A24"/>
    <mergeCell ref="B13:C13"/>
    <mergeCell ref="B14:B18"/>
    <mergeCell ref="B19:C19"/>
    <mergeCell ref="B20:B24"/>
    <mergeCell ref="A8:C8"/>
    <mergeCell ref="A9:A11"/>
    <mergeCell ref="B9:C9"/>
    <mergeCell ref="B10:C10"/>
    <mergeCell ref="B11:C11"/>
    <mergeCell ref="A2:E2"/>
    <mergeCell ref="A4:D4"/>
    <mergeCell ref="A5:D5"/>
    <mergeCell ref="A6:C6"/>
    <mergeCell ref="A7:C7"/>
  </mergeCells>
  <conditionalFormatting sqref="E10">
    <cfRule type="cellIs" dxfId="9" priority="2" operator="greaterThan">
      <formula>ROUND(0.06*$E$9,1)</formula>
    </cfRule>
  </conditionalFormatting>
  <conditionalFormatting sqref="H10">
    <cfRule type="cellIs" dxfId="8" priority="3" operator="greaterThan">
      <formula>ROUND(0.06*$E$9,1)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6:E7 H6:H7 E9:E12 H9:H12 F12:G12 E14:E18 E20:E25 F25 E27:F27" xr:uid="{00000000-0002-0000-0700-000000000000}">
      <formula1>MOD(E27*10,1)=0</formula1>
      <formula2>0</formula2>
    </dataValidation>
  </dataValidations>
  <pageMargins left="0.7" right="0.7" top="0.75" bottom="0.75" header="0.51180555555555496" footer="0.51180555555555496"/>
  <pageSetup paperSize="9" scale="55" firstPageNumber="0" orientation="landscape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2">
    <pageSetUpPr fitToPage="1"/>
  </sheetPr>
  <dimension ref="A1:G47"/>
  <sheetViews>
    <sheetView zoomScaleNormal="100" workbookViewId="0">
      <selection sqref="A1:XFD1"/>
    </sheetView>
  </sheetViews>
  <sheetFormatPr defaultRowHeight="12.75"/>
  <cols>
    <col min="1" max="1" width="8.7109375" customWidth="1"/>
    <col min="2" max="2" width="6.140625" customWidth="1"/>
    <col min="3" max="3" width="10.28515625" customWidth="1"/>
    <col min="4" max="4" width="49.140625" customWidth="1"/>
    <col min="5" max="5" width="5.28515625" customWidth="1"/>
    <col min="6" max="6" width="19.42578125" customWidth="1"/>
    <col min="7" max="7" width="18.85546875" style="158" customWidth="1"/>
    <col min="8" max="1016" width="8.7109375" customWidth="1"/>
  </cols>
  <sheetData>
    <row r="1" spans="1:7">
      <c r="A1" s="120" t="s">
        <v>81</v>
      </c>
      <c r="B1" s="121"/>
      <c r="C1" s="121"/>
      <c r="D1" s="122"/>
      <c r="E1" s="122"/>
    </row>
    <row r="2" spans="1:7" ht="15.75" customHeight="1">
      <c r="A2" s="396" t="s">
        <v>444</v>
      </c>
      <c r="B2" s="396"/>
      <c r="C2" s="396"/>
      <c r="D2" s="396"/>
      <c r="E2" s="396"/>
    </row>
    <row r="3" spans="1:7" ht="6.75" customHeight="1" thickBot="1">
      <c r="A3" s="173"/>
      <c r="B3" s="173"/>
      <c r="C3" s="173"/>
      <c r="D3" s="173"/>
      <c r="E3" s="173"/>
    </row>
    <row r="4" spans="1:7" ht="38.25" customHeight="1">
      <c r="A4" s="454" t="s">
        <v>1</v>
      </c>
      <c r="B4" s="455"/>
      <c r="C4" s="455"/>
      <c r="D4" s="455"/>
      <c r="E4" s="456"/>
      <c r="F4" s="159" t="s">
        <v>463</v>
      </c>
      <c r="G4" s="239" t="s">
        <v>464</v>
      </c>
    </row>
    <row r="5" spans="1:7" ht="15.75" thickBot="1">
      <c r="A5" s="457">
        <v>1</v>
      </c>
      <c r="B5" s="458"/>
      <c r="C5" s="458"/>
      <c r="D5" s="458"/>
      <c r="E5" s="458"/>
      <c r="F5" s="196">
        <v>3</v>
      </c>
      <c r="G5" s="249">
        <v>3</v>
      </c>
    </row>
    <row r="6" spans="1:7" ht="27.75" customHeight="1" thickBot="1">
      <c r="A6" s="459" t="s">
        <v>366</v>
      </c>
      <c r="B6" s="462" t="s">
        <v>351</v>
      </c>
      <c r="C6" s="463"/>
      <c r="D6" s="464"/>
      <c r="E6" s="195" t="s">
        <v>6</v>
      </c>
      <c r="F6" s="198">
        <v>276339.7</v>
      </c>
      <c r="G6" s="250">
        <v>276339.7</v>
      </c>
    </row>
    <row r="7" spans="1:7" ht="18" customHeight="1">
      <c r="A7" s="460"/>
      <c r="B7" s="465" t="s">
        <v>367</v>
      </c>
      <c r="C7" s="387"/>
      <c r="D7" s="388"/>
      <c r="E7" s="160" t="s">
        <v>10</v>
      </c>
      <c r="F7" s="197">
        <f>F8+F9+F10</f>
        <v>8870.7000000000007</v>
      </c>
      <c r="G7" s="251">
        <f>G8+G9+G10</f>
        <v>7479.3</v>
      </c>
    </row>
    <row r="8" spans="1:7" ht="17.25" customHeight="1">
      <c r="A8" s="460"/>
      <c r="B8" s="466" t="s">
        <v>15</v>
      </c>
      <c r="C8" s="465" t="s">
        <v>368</v>
      </c>
      <c r="D8" s="388"/>
      <c r="E8" s="160" t="s">
        <v>12</v>
      </c>
      <c r="F8" s="190">
        <v>6989.3</v>
      </c>
      <c r="G8" s="252">
        <v>6989.3</v>
      </c>
    </row>
    <row r="9" spans="1:7" ht="29.25" customHeight="1">
      <c r="A9" s="460"/>
      <c r="B9" s="467"/>
      <c r="C9" s="465" t="s">
        <v>369</v>
      </c>
      <c r="D9" s="388"/>
      <c r="E9" s="160" t="s">
        <v>14</v>
      </c>
      <c r="F9" s="190">
        <v>1871.4</v>
      </c>
      <c r="G9" s="252">
        <v>480</v>
      </c>
    </row>
    <row r="10" spans="1:7" ht="15.75" customHeight="1">
      <c r="A10" s="460"/>
      <c r="B10" s="468"/>
      <c r="C10" s="465" t="s">
        <v>370</v>
      </c>
      <c r="D10" s="388"/>
      <c r="E10" s="160" t="s">
        <v>17</v>
      </c>
      <c r="F10" s="190">
        <v>10</v>
      </c>
      <c r="G10" s="252">
        <v>10</v>
      </c>
    </row>
    <row r="11" spans="1:7" ht="17.25" customHeight="1">
      <c r="A11" s="460"/>
      <c r="B11" s="469" t="s">
        <v>371</v>
      </c>
      <c r="C11" s="469"/>
      <c r="D11" s="469"/>
      <c r="E11" s="160" t="s">
        <v>19</v>
      </c>
      <c r="F11" s="190">
        <v>7760</v>
      </c>
      <c r="G11" s="252">
        <v>8184</v>
      </c>
    </row>
    <row r="12" spans="1:7" ht="16.5" customHeight="1">
      <c r="A12" s="460"/>
      <c r="B12" s="466" t="s">
        <v>15</v>
      </c>
      <c r="C12" s="469" t="s">
        <v>372</v>
      </c>
      <c r="D12" s="469"/>
      <c r="E12" s="160" t="s">
        <v>21</v>
      </c>
      <c r="F12" s="190"/>
      <c r="G12" s="252"/>
    </row>
    <row r="13" spans="1:7" ht="15" customHeight="1" thickBot="1">
      <c r="A13" s="460"/>
      <c r="B13" s="468"/>
      <c r="C13" s="469" t="s">
        <v>370</v>
      </c>
      <c r="D13" s="469"/>
      <c r="E13" s="160" t="s">
        <v>24</v>
      </c>
      <c r="F13" s="200"/>
      <c r="G13" s="253"/>
    </row>
    <row r="14" spans="1:7" ht="14.25" customHeight="1" thickBot="1">
      <c r="A14" s="461"/>
      <c r="B14" s="470" t="s">
        <v>445</v>
      </c>
      <c r="C14" s="470"/>
      <c r="D14" s="470"/>
      <c r="E14" s="199" t="s">
        <v>27</v>
      </c>
      <c r="F14" s="198">
        <f>F6+F7-F11</f>
        <v>277450.40000000002</v>
      </c>
      <c r="G14" s="254">
        <f>G6+G7-G11</f>
        <v>275635</v>
      </c>
    </row>
    <row r="15" spans="1:7" ht="20.100000000000001" customHeight="1" thickBot="1">
      <c r="A15" s="471" t="s">
        <v>446</v>
      </c>
      <c r="B15" s="474" t="s">
        <v>351</v>
      </c>
      <c r="C15" s="474"/>
      <c r="D15" s="474"/>
      <c r="E15" s="201">
        <f>E14+1</f>
        <v>10</v>
      </c>
      <c r="F15" s="198">
        <v>4508.8</v>
      </c>
      <c r="G15" s="250">
        <v>4508.8</v>
      </c>
    </row>
    <row r="16" spans="1:7" ht="20.100000000000001" customHeight="1">
      <c r="A16" s="472"/>
      <c r="B16" s="469" t="s">
        <v>367</v>
      </c>
      <c r="C16" s="469"/>
      <c r="D16" s="469"/>
      <c r="E16" s="166">
        <f>E15+1</f>
        <v>11</v>
      </c>
      <c r="F16" s="197">
        <v>17467</v>
      </c>
      <c r="G16" s="251">
        <v>18614</v>
      </c>
    </row>
    <row r="17" spans="1:7" ht="20.100000000000001" customHeight="1" thickBot="1">
      <c r="A17" s="472"/>
      <c r="B17" s="469" t="s">
        <v>371</v>
      </c>
      <c r="C17" s="469"/>
      <c r="D17" s="469"/>
      <c r="E17" s="166">
        <f>E16+1</f>
        <v>12</v>
      </c>
      <c r="F17" s="200">
        <v>19030</v>
      </c>
      <c r="G17" s="253">
        <v>19086.400000000001</v>
      </c>
    </row>
    <row r="18" spans="1:7" ht="20.100000000000001" customHeight="1" thickBot="1">
      <c r="A18" s="473"/>
      <c r="B18" s="470" t="s">
        <v>447</v>
      </c>
      <c r="C18" s="470"/>
      <c r="D18" s="470"/>
      <c r="E18" s="202">
        <f>E17+1</f>
        <v>13</v>
      </c>
      <c r="F18" s="198">
        <f>F15+F16-F17</f>
        <v>2945.7999999999993</v>
      </c>
      <c r="G18" s="250">
        <f>G15+G16-G17</f>
        <v>4036.3999999999978</v>
      </c>
    </row>
    <row r="19" spans="1:7" ht="17.100000000000001" customHeight="1" thickBot="1">
      <c r="A19" s="471" t="s">
        <v>373</v>
      </c>
      <c r="B19" s="474" t="s">
        <v>351</v>
      </c>
      <c r="C19" s="474"/>
      <c r="D19" s="474"/>
      <c r="E19" s="201">
        <f>E18+1</f>
        <v>14</v>
      </c>
      <c r="F19" s="198">
        <v>1185.8</v>
      </c>
      <c r="G19" s="250">
        <v>1185.8</v>
      </c>
    </row>
    <row r="20" spans="1:7" ht="17.100000000000001" customHeight="1">
      <c r="A20" s="472"/>
      <c r="B20" s="469" t="s">
        <v>367</v>
      </c>
      <c r="C20" s="469"/>
      <c r="D20" s="469"/>
      <c r="E20" s="166">
        <f t="shared" ref="E20:E37" si="0">E19+1</f>
        <v>15</v>
      </c>
      <c r="F20" s="197">
        <v>4417.1000000000004</v>
      </c>
      <c r="G20" s="251">
        <v>4434</v>
      </c>
    </row>
    <row r="21" spans="1:7" ht="17.100000000000001" customHeight="1" thickBot="1">
      <c r="A21" s="472"/>
      <c r="B21" s="469" t="s">
        <v>371</v>
      </c>
      <c r="C21" s="469"/>
      <c r="D21" s="469"/>
      <c r="E21" s="166">
        <f t="shared" si="0"/>
        <v>16</v>
      </c>
      <c r="F21" s="200">
        <v>4578.6000000000004</v>
      </c>
      <c r="G21" s="253">
        <v>4578.6000000000004</v>
      </c>
    </row>
    <row r="22" spans="1:7" ht="17.100000000000001" customHeight="1" thickBot="1">
      <c r="A22" s="473"/>
      <c r="B22" s="470" t="s">
        <v>448</v>
      </c>
      <c r="C22" s="470"/>
      <c r="D22" s="470"/>
      <c r="E22" s="202">
        <f t="shared" si="0"/>
        <v>17</v>
      </c>
      <c r="F22" s="204">
        <f>F19+F20-F21</f>
        <v>1024.3000000000002</v>
      </c>
      <c r="G22" s="255">
        <f>G19+G20-G21</f>
        <v>1041.1999999999998</v>
      </c>
    </row>
    <row r="23" spans="1:7" ht="17.100000000000001" customHeight="1" thickBot="1">
      <c r="A23" s="479" t="s">
        <v>449</v>
      </c>
      <c r="B23" s="474" t="s">
        <v>351</v>
      </c>
      <c r="C23" s="474"/>
      <c r="D23" s="474"/>
      <c r="E23" s="205">
        <f t="shared" si="0"/>
        <v>18</v>
      </c>
      <c r="F23" s="206">
        <v>0.6</v>
      </c>
      <c r="G23" s="256">
        <v>0.6</v>
      </c>
    </row>
    <row r="24" spans="1:7" ht="17.100000000000001" customHeight="1">
      <c r="A24" s="480"/>
      <c r="B24" s="469" t="s">
        <v>367</v>
      </c>
      <c r="C24" s="469"/>
      <c r="D24" s="469"/>
      <c r="E24" s="166">
        <f t="shared" si="0"/>
        <v>19</v>
      </c>
      <c r="F24" s="203">
        <v>0</v>
      </c>
      <c r="G24" s="257">
        <v>0</v>
      </c>
    </row>
    <row r="25" spans="1:7" ht="17.100000000000001" customHeight="1">
      <c r="A25" s="480"/>
      <c r="B25" s="476" t="s">
        <v>374</v>
      </c>
      <c r="C25" s="477"/>
      <c r="D25" s="478"/>
      <c r="E25" s="166">
        <f t="shared" si="0"/>
        <v>20</v>
      </c>
      <c r="F25" s="191">
        <v>0</v>
      </c>
      <c r="G25" s="258">
        <v>0</v>
      </c>
    </row>
    <row r="26" spans="1:7" ht="17.100000000000001" customHeight="1" thickBot="1">
      <c r="A26" s="480"/>
      <c r="B26" s="469" t="s">
        <v>371</v>
      </c>
      <c r="C26" s="469"/>
      <c r="D26" s="469"/>
      <c r="E26" s="166">
        <f t="shared" si="0"/>
        <v>21</v>
      </c>
      <c r="F26" s="207">
        <v>0</v>
      </c>
      <c r="G26" s="259">
        <v>0</v>
      </c>
    </row>
    <row r="27" spans="1:7" ht="17.100000000000001" customHeight="1" thickBot="1">
      <c r="A27" s="481"/>
      <c r="B27" s="470" t="s">
        <v>450</v>
      </c>
      <c r="C27" s="470"/>
      <c r="D27" s="470"/>
      <c r="E27" s="202">
        <f t="shared" si="0"/>
        <v>22</v>
      </c>
      <c r="F27" s="208">
        <v>0.6</v>
      </c>
      <c r="G27" s="260">
        <v>0.6</v>
      </c>
    </row>
    <row r="28" spans="1:7" ht="13.5" customHeight="1" thickBot="1">
      <c r="A28" s="482" t="s">
        <v>375</v>
      </c>
      <c r="B28" s="484" t="s">
        <v>376</v>
      </c>
      <c r="C28" s="484"/>
      <c r="D28" s="484"/>
      <c r="E28" s="201">
        <f t="shared" si="0"/>
        <v>23</v>
      </c>
      <c r="F28" s="209">
        <v>53.7</v>
      </c>
      <c r="G28" s="261">
        <v>53.7</v>
      </c>
    </row>
    <row r="29" spans="1:7" ht="20.25" customHeight="1">
      <c r="A29" s="482"/>
      <c r="B29" s="469" t="s">
        <v>377</v>
      </c>
      <c r="C29" s="469"/>
      <c r="D29" s="469"/>
      <c r="E29" s="166">
        <f t="shared" si="0"/>
        <v>24</v>
      </c>
      <c r="F29" s="192">
        <v>586.29999999999995</v>
      </c>
      <c r="G29" s="262">
        <v>619</v>
      </c>
    </row>
    <row r="30" spans="1:7" ht="17.100000000000001" customHeight="1" thickBot="1">
      <c r="A30" s="483"/>
      <c r="B30" s="469" t="s">
        <v>378</v>
      </c>
      <c r="C30" s="469"/>
      <c r="D30" s="469"/>
      <c r="E30" s="166">
        <f t="shared" si="0"/>
        <v>25</v>
      </c>
      <c r="F30" s="210">
        <v>596.4</v>
      </c>
      <c r="G30" s="263">
        <v>613.6</v>
      </c>
    </row>
    <row r="31" spans="1:7" ht="17.100000000000001" customHeight="1" thickBot="1">
      <c r="A31" s="481"/>
      <c r="B31" s="470" t="s">
        <v>451</v>
      </c>
      <c r="C31" s="470"/>
      <c r="D31" s="470"/>
      <c r="E31" s="202">
        <f t="shared" si="0"/>
        <v>26</v>
      </c>
      <c r="F31" s="274">
        <f>F28+F29-F30</f>
        <v>43.600000000000023</v>
      </c>
      <c r="G31" s="211">
        <f>G28+G29-G30</f>
        <v>59.100000000000023</v>
      </c>
    </row>
    <row r="32" spans="1:7" ht="17.100000000000001" customHeight="1">
      <c r="A32" s="187"/>
      <c r="B32" s="187"/>
      <c r="C32" s="187"/>
      <c r="D32" s="187"/>
      <c r="E32" s="187"/>
      <c r="F32" s="70"/>
      <c r="G32" s="264"/>
    </row>
    <row r="33" spans="1:7" ht="17.100000000000001" customHeight="1" thickBot="1">
      <c r="A33" s="475" t="s">
        <v>379</v>
      </c>
      <c r="B33" s="475"/>
      <c r="C33" s="475"/>
      <c r="D33" s="475"/>
      <c r="E33" s="475"/>
      <c r="F33" s="70"/>
      <c r="G33" s="264"/>
    </row>
    <row r="34" spans="1:7" ht="15.75">
      <c r="A34" s="485" t="s">
        <v>380</v>
      </c>
      <c r="B34" s="474" t="s">
        <v>376</v>
      </c>
      <c r="C34" s="474"/>
      <c r="D34" s="474"/>
      <c r="E34" s="174">
        <f>E31+1</f>
        <v>27</v>
      </c>
    </row>
    <row r="35" spans="1:7" ht="15.75">
      <c r="A35" s="486"/>
      <c r="B35" s="469" t="s">
        <v>377</v>
      </c>
      <c r="C35" s="469"/>
      <c r="D35" s="469"/>
      <c r="E35" s="166">
        <f t="shared" si="0"/>
        <v>28</v>
      </c>
    </row>
    <row r="36" spans="1:7" ht="15.75">
      <c r="A36" s="486"/>
      <c r="B36" s="469" t="s">
        <v>378</v>
      </c>
      <c r="C36" s="469"/>
      <c r="D36" s="469"/>
      <c r="E36" s="166">
        <f t="shared" si="0"/>
        <v>29</v>
      </c>
    </row>
    <row r="37" spans="1:7" ht="16.5" thickBot="1">
      <c r="A37" s="487"/>
      <c r="B37" s="470" t="s">
        <v>451</v>
      </c>
      <c r="C37" s="470"/>
      <c r="D37" s="470"/>
      <c r="E37" s="175">
        <f t="shared" si="0"/>
        <v>30</v>
      </c>
    </row>
    <row r="40" spans="1:7">
      <c r="C40" s="186"/>
    </row>
    <row r="45" spans="1:7" hidden="1">
      <c r="D45">
        <f>4857.4-720-128.7</f>
        <v>4008.7</v>
      </c>
    </row>
    <row r="46" spans="1:7" hidden="1"/>
    <row r="47" spans="1:7" hidden="1"/>
  </sheetData>
  <mergeCells count="42">
    <mergeCell ref="A34:A37"/>
    <mergeCell ref="B34:D34"/>
    <mergeCell ref="B35:D35"/>
    <mergeCell ref="B36:D36"/>
    <mergeCell ref="B37:D37"/>
    <mergeCell ref="B23:D23"/>
    <mergeCell ref="A33:E33"/>
    <mergeCell ref="B24:D24"/>
    <mergeCell ref="B25:D25"/>
    <mergeCell ref="B26:D26"/>
    <mergeCell ref="B27:D27"/>
    <mergeCell ref="A23:A27"/>
    <mergeCell ref="B30:D30"/>
    <mergeCell ref="B31:D31"/>
    <mergeCell ref="A28:A31"/>
    <mergeCell ref="B28:D28"/>
    <mergeCell ref="B29:D29"/>
    <mergeCell ref="A19:A22"/>
    <mergeCell ref="A15:A18"/>
    <mergeCell ref="B15:D15"/>
    <mergeCell ref="B16:D16"/>
    <mergeCell ref="B17:D17"/>
    <mergeCell ref="B18:D18"/>
    <mergeCell ref="B19:D19"/>
    <mergeCell ref="B20:D20"/>
    <mergeCell ref="B21:D21"/>
    <mergeCell ref="B22:D22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pageMargins left="0.70833333333333304" right="0.70833333333333304" top="0.74791666666666701" bottom="0.74791666666666701" header="0.51180555555555496" footer="0.51180555555555496"/>
  <pageSetup paperSize="9" scale="75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Dział V nowy (2)</vt:lpstr>
      <vt:lpstr>Arkusz2</vt:lpstr>
      <vt:lpstr>Arkusz1</vt:lpstr>
      <vt:lpstr>Dział II. (2)</vt:lpstr>
      <vt:lpstr>Dział I.</vt:lpstr>
      <vt:lpstr>Dział I nowy</vt:lpstr>
      <vt:lpstr>Dział II.</vt:lpstr>
      <vt:lpstr>Dział II nowy</vt:lpstr>
      <vt:lpstr>Dział II</vt:lpstr>
      <vt:lpstr>Dział III</vt:lpstr>
      <vt:lpstr>Dział V.</vt:lpstr>
      <vt:lpstr>Dział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</dc:creator>
  <dc:description/>
  <cp:lastModifiedBy>AMB</cp:lastModifiedBy>
  <cp:revision>2</cp:revision>
  <cp:lastPrinted>2022-12-12T09:37:52Z</cp:lastPrinted>
  <dcterms:created xsi:type="dcterms:W3CDTF">2012-11-06T13:57:09Z</dcterms:created>
  <dcterms:modified xsi:type="dcterms:W3CDTF">2023-01-03T11:33:35Z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